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435" tabRatio="892" activeTab="15"/>
  </bookViews>
  <sheets>
    <sheet name="прил.1" sheetId="31" r:id="rId1"/>
    <sheet name="прил. 2" sheetId="34" r:id="rId2"/>
    <sheet name="прил.3" sheetId="30" r:id="rId3"/>
    <sheet name="прил.4" sheetId="9" r:id="rId4"/>
    <sheet name="прил.5" sheetId="25" r:id="rId5"/>
    <sheet name="прил.6 " sheetId="24" r:id="rId6"/>
    <sheet name="Отраслевая 2015-2016" sheetId="13" state="hidden" r:id="rId7"/>
    <sheet name="Программы 2015-2016" sheetId="15" state="hidden" r:id="rId8"/>
    <sheet name="Ведомственная 2015-2016" sheetId="14" state="hidden" r:id="rId9"/>
    <sheet name="Прил №9" sheetId="16" state="hidden" r:id="rId10"/>
    <sheet name="Прил №11" sheetId="18" state="hidden" r:id="rId11"/>
    <sheet name="Прил.№2 к Сред.срочн.плану" sheetId="19" state="hidden" r:id="rId12"/>
    <sheet name="Прилож.№ 10" sheetId="20" state="hidden" r:id="rId13"/>
    <sheet name="прил. 7" sheetId="26" r:id="rId14"/>
    <sheet name="прил.8" sheetId="33" r:id="rId15"/>
    <sheet name="прил.9" sheetId="28" r:id="rId16"/>
  </sheets>
  <externalReferences>
    <externalReference r:id="rId17"/>
  </externalReferences>
  <definedNames>
    <definedName name="_xlnm._FilterDatabase" localSheetId="8" hidden="1">'Ведомственная 2015-2016'!$A$12:$H$312</definedName>
    <definedName name="_xlnm._FilterDatabase" localSheetId="3" hidden="1">прил.4!$A$15:$I$390</definedName>
    <definedName name="_xlnm._FilterDatabase" localSheetId="4" hidden="1">прил.5!$A$19:$H$327</definedName>
    <definedName name="_xlnm._FilterDatabase" localSheetId="5" hidden="1">'прил.6 '!$A$18:$F$264</definedName>
    <definedName name="_xlnm.Print_Titles" localSheetId="8">'Ведомственная 2015-2016'!$9:$12</definedName>
    <definedName name="_xlnm.Print_Titles" localSheetId="6">'Отраслевая 2015-2016'!$11:$14</definedName>
    <definedName name="_xlnm.Print_Titles" localSheetId="1">'прил. 2'!$16:$18</definedName>
    <definedName name="_xlnm.Print_Titles" localSheetId="13">'прил. 7'!$15:$17</definedName>
    <definedName name="_xlnm.Print_Titles" localSheetId="0">прил.1!$15:$17</definedName>
    <definedName name="_xlnm.Print_Titles" localSheetId="2">прил.3!$14:$15</definedName>
    <definedName name="_xlnm.Print_Titles" localSheetId="3">прил.4!$13:$15</definedName>
    <definedName name="_xlnm.Print_Titles" localSheetId="4">прил.5!$17:$19</definedName>
    <definedName name="_xlnm.Print_Titles" localSheetId="5">'прил.6 '!$17:$18</definedName>
    <definedName name="_xlnm.Print_Titles" localSheetId="14">прил.8!$13:$15</definedName>
    <definedName name="_xlnm.Print_Titles" localSheetId="15">прил.9!$12:$13</definedName>
    <definedName name="_xlnm.Print_Titles" localSheetId="7">'Программы 2015-2016'!$11:$14</definedName>
  </definedNames>
  <calcPr calcId="125725"/>
</workbook>
</file>

<file path=xl/calcChain.xml><?xml version="1.0" encoding="utf-8"?>
<calcChain xmlns="http://schemas.openxmlformats.org/spreadsheetml/2006/main">
  <c r="F90" i="24"/>
  <c r="F89" s="1"/>
  <c r="E90"/>
  <c r="E89" s="1"/>
  <c r="D90"/>
  <c r="D89" s="1"/>
  <c r="H143" i="25"/>
  <c r="H142" s="1"/>
  <c r="G143"/>
  <c r="G142" s="1"/>
  <c r="F143"/>
  <c r="F142" s="1"/>
  <c r="I360" i="9"/>
  <c r="I157"/>
  <c r="H157"/>
  <c r="G157"/>
  <c r="H73"/>
  <c r="H72"/>
  <c r="H71" s="1"/>
  <c r="H70" s="1"/>
  <c r="I20"/>
  <c r="I228"/>
  <c r="H228"/>
  <c r="I175"/>
  <c r="I172"/>
  <c r="C27" i="30"/>
  <c r="E33"/>
  <c r="E29"/>
  <c r="E28" s="1"/>
  <c r="D33"/>
  <c r="C33"/>
  <c r="C29"/>
  <c r="C28" s="1"/>
  <c r="D29"/>
  <c r="D28" s="1"/>
  <c r="E18"/>
  <c r="E16" s="1"/>
  <c r="E38" s="1"/>
  <c r="E18" i="28" s="1"/>
  <c r="D18" i="30"/>
  <c r="D16"/>
  <c r="C18"/>
  <c r="C16"/>
  <c r="C38" s="1"/>
  <c r="C18" i="28" s="1"/>
  <c r="F181" i="24"/>
  <c r="F180" s="1"/>
  <c r="E181"/>
  <c r="E180" s="1"/>
  <c r="D181"/>
  <c r="D180" s="1"/>
  <c r="F147"/>
  <c r="E147"/>
  <c r="D147"/>
  <c r="D95"/>
  <c r="D94"/>
  <c r="D93" s="1"/>
  <c r="D65"/>
  <c r="F191"/>
  <c r="F189" s="1"/>
  <c r="F188" s="1"/>
  <c r="F187" s="1"/>
  <c r="E191"/>
  <c r="D191"/>
  <c r="D189" s="1"/>
  <c r="D188" s="1"/>
  <c r="D187" s="1"/>
  <c r="D72"/>
  <c r="D71" s="1"/>
  <c r="D70"/>
  <c r="D69" s="1"/>
  <c r="D68" s="1"/>
  <c r="F148"/>
  <c r="E148"/>
  <c r="D149"/>
  <c r="D148" s="1"/>
  <c r="F95"/>
  <c r="F93" s="1"/>
  <c r="E95"/>
  <c r="F254"/>
  <c r="E254"/>
  <c r="D254"/>
  <c r="D252" s="1"/>
  <c r="H292" i="25"/>
  <c r="G292"/>
  <c r="F292"/>
  <c r="H274"/>
  <c r="G274"/>
  <c r="F274"/>
  <c r="H217"/>
  <c r="H216"/>
  <c r="G217"/>
  <c r="G216"/>
  <c r="F217"/>
  <c r="F216"/>
  <c r="H221"/>
  <c r="H220"/>
  <c r="G221"/>
  <c r="G220"/>
  <c r="F221"/>
  <c r="F220"/>
  <c r="H218"/>
  <c r="G218"/>
  <c r="F219"/>
  <c r="F218"/>
  <c r="G309" i="9"/>
  <c r="D38" i="24"/>
  <c r="H269" i="25"/>
  <c r="H268"/>
  <c r="G269"/>
  <c r="G268"/>
  <c r="F269"/>
  <c r="F268"/>
  <c r="F150"/>
  <c r="G73" i="9"/>
  <c r="G81"/>
  <c r="G80"/>
  <c r="G241"/>
  <c r="G237"/>
  <c r="G233"/>
  <c r="G230"/>
  <c r="G225"/>
  <c r="G223"/>
  <c r="G240"/>
  <c r="I241"/>
  <c r="H241"/>
  <c r="G213"/>
  <c r="G212" s="1"/>
  <c r="G211" s="1"/>
  <c r="I217"/>
  <c r="H217"/>
  <c r="G217"/>
  <c r="I219"/>
  <c r="H219"/>
  <c r="G219"/>
  <c r="G99" i="25"/>
  <c r="G98"/>
  <c r="F99"/>
  <c r="G117"/>
  <c r="H117"/>
  <c r="F117"/>
  <c r="G19" i="9"/>
  <c r="G18"/>
  <c r="G17" s="1"/>
  <c r="G16" s="1"/>
  <c r="F37" i="25"/>
  <c r="E65" i="24"/>
  <c r="E64" s="1"/>
  <c r="D64"/>
  <c r="G241" i="25"/>
  <c r="G240" s="1"/>
  <c r="H241"/>
  <c r="H240" s="1"/>
  <c r="F241"/>
  <c r="F240" s="1"/>
  <c r="G150"/>
  <c r="H150"/>
  <c r="E249" i="24"/>
  <c r="F249"/>
  <c r="D249"/>
  <c r="G87" i="25"/>
  <c r="H87"/>
  <c r="F87"/>
  <c r="F19" i="33"/>
  <c r="F20" s="1"/>
  <c r="E215" i="24"/>
  <c r="F215"/>
  <c r="E216"/>
  <c r="F216"/>
  <c r="D216"/>
  <c r="D214" s="1"/>
  <c r="D213" s="1"/>
  <c r="D215"/>
  <c r="D264"/>
  <c r="D263" s="1"/>
  <c r="D262"/>
  <c r="D261" s="1"/>
  <c r="D260"/>
  <c r="D259" s="1"/>
  <c r="D258"/>
  <c r="D257" s="1"/>
  <c r="D256"/>
  <c r="D255" s="1"/>
  <c r="D253"/>
  <c r="D251"/>
  <c r="D250" s="1"/>
  <c r="D248"/>
  <c r="D247"/>
  <c r="D245"/>
  <c r="D244"/>
  <c r="D243"/>
  <c r="D241"/>
  <c r="D240"/>
  <c r="D239"/>
  <c r="D238" s="1"/>
  <c r="D237"/>
  <c r="D236"/>
  <c r="D235"/>
  <c r="D233"/>
  <c r="D232" s="1"/>
  <c r="D231"/>
  <c r="D230" s="1"/>
  <c r="D229"/>
  <c r="D228" s="1"/>
  <c r="D227"/>
  <c r="D226" s="1"/>
  <c r="D224"/>
  <c r="D223" s="1"/>
  <c r="D222"/>
  <c r="D221"/>
  <c r="D220"/>
  <c r="D219" s="1"/>
  <c r="D218" s="1"/>
  <c r="D217"/>
  <c r="D211"/>
  <c r="D210"/>
  <c r="D209"/>
  <c r="D207"/>
  <c r="D206" s="1"/>
  <c r="D205"/>
  <c r="D204"/>
  <c r="D201"/>
  <c r="D200" s="1"/>
  <c r="D199" s="1"/>
  <c r="D198"/>
  <c r="D197" s="1"/>
  <c r="D196"/>
  <c r="D195" s="1"/>
  <c r="D194"/>
  <c r="D193" s="1"/>
  <c r="D192"/>
  <c r="D190"/>
  <c r="D186"/>
  <c r="D185"/>
  <c r="D184"/>
  <c r="D183" s="1"/>
  <c r="D182" s="1"/>
  <c r="D179"/>
  <c r="D178" s="1"/>
  <c r="D177"/>
  <c r="D176"/>
  <c r="D175"/>
  <c r="D168"/>
  <c r="D167"/>
  <c r="D166"/>
  <c r="D165"/>
  <c r="D163" s="1"/>
  <c r="D162" s="1"/>
  <c r="D164"/>
  <c r="D161"/>
  <c r="D160"/>
  <c r="D159"/>
  <c r="D158" s="1"/>
  <c r="D157"/>
  <c r="D156"/>
  <c r="D155"/>
  <c r="D154"/>
  <c r="D152" s="1"/>
  <c r="D151" s="1"/>
  <c r="D150" s="1"/>
  <c r="D153"/>
  <c r="D146"/>
  <c r="D144" s="1"/>
  <c r="D143" s="1"/>
  <c r="D145"/>
  <c r="D142"/>
  <c r="D139"/>
  <c r="D138"/>
  <c r="D137"/>
  <c r="D136"/>
  <c r="D134" s="1"/>
  <c r="D133" s="1"/>
  <c r="D135"/>
  <c r="D132"/>
  <c r="D131"/>
  <c r="D129"/>
  <c r="D128"/>
  <c r="D127"/>
  <c r="D125" s="1"/>
  <c r="D124" s="1"/>
  <c r="D126"/>
  <c r="D119"/>
  <c r="D118" s="1"/>
  <c r="D117" s="1"/>
  <c r="D116"/>
  <c r="D115"/>
  <c r="D114"/>
  <c r="D110"/>
  <c r="D109" s="1"/>
  <c r="D108"/>
  <c r="D107"/>
  <c r="D106" s="1"/>
  <c r="D105"/>
  <c r="D104" s="1"/>
  <c r="D103"/>
  <c r="D102" s="1"/>
  <c r="D100"/>
  <c r="D99"/>
  <c r="D97" s="1"/>
  <c r="D96" s="1"/>
  <c r="D98"/>
  <c r="D92"/>
  <c r="D91" s="1"/>
  <c r="D88"/>
  <c r="D87" s="1"/>
  <c r="D86"/>
  <c r="D85" s="1"/>
  <c r="D83"/>
  <c r="D82" s="1"/>
  <c r="D81"/>
  <c r="D80" s="1"/>
  <c r="D79" s="1"/>
  <c r="D78"/>
  <c r="D77" s="1"/>
  <c r="D76"/>
  <c r="D75" s="1"/>
  <c r="D67"/>
  <c r="D66" s="1"/>
  <c r="D63"/>
  <c r="D62" s="1"/>
  <c r="D61"/>
  <c r="D60"/>
  <c r="D59"/>
  <c r="D56"/>
  <c r="D55" s="1"/>
  <c r="D54" s="1"/>
  <c r="D47"/>
  <c r="D46" s="1"/>
  <c r="D44"/>
  <c r="D43" s="1"/>
  <c r="D42"/>
  <c r="D41" s="1"/>
  <c r="D40"/>
  <c r="D39"/>
  <c r="D36"/>
  <c r="D35" s="1"/>
  <c r="D34"/>
  <c r="D33" s="1"/>
  <c r="D32"/>
  <c r="D31" s="1"/>
  <c r="D30"/>
  <c r="D29"/>
  <c r="D28"/>
  <c r="D27" s="1"/>
  <c r="D26"/>
  <c r="D25" s="1"/>
  <c r="D24"/>
  <c r="D23" s="1"/>
  <c r="D22" s="1"/>
  <c r="G146" i="25"/>
  <c r="H146"/>
  <c r="G147"/>
  <c r="H147"/>
  <c r="F147"/>
  <c r="F146"/>
  <c r="F145" s="1"/>
  <c r="F326"/>
  <c r="F322"/>
  <c r="F321"/>
  <c r="F320"/>
  <c r="F319" s="1"/>
  <c r="F318" s="1"/>
  <c r="F316"/>
  <c r="F315"/>
  <c r="F314"/>
  <c r="F311"/>
  <c r="F310" s="1"/>
  <c r="F309"/>
  <c r="F308" s="1"/>
  <c r="F306"/>
  <c r="F305"/>
  <c r="F304"/>
  <c r="F303" s="1"/>
  <c r="F302"/>
  <c r="F301" s="1"/>
  <c r="F300"/>
  <c r="F299"/>
  <c r="F298"/>
  <c r="F294"/>
  <c r="F293" s="1"/>
  <c r="F291"/>
  <c r="F288"/>
  <c r="F287"/>
  <c r="F286"/>
  <c r="F285"/>
  <c r="F284"/>
  <c r="F283"/>
  <c r="F282" s="1"/>
  <c r="D50" i="26" s="1"/>
  <c r="F281" i="25"/>
  <c r="F280"/>
  <c r="F279" s="1"/>
  <c r="D49" i="26" s="1"/>
  <c r="F278" i="25"/>
  <c r="F277"/>
  <c r="F276" s="1"/>
  <c r="D48" i="26" s="1"/>
  <c r="F273" i="25"/>
  <c r="F272"/>
  <c r="F267"/>
  <c r="F264"/>
  <c r="F263" s="1"/>
  <c r="F262"/>
  <c r="F261"/>
  <c r="F259" s="1"/>
  <c r="F260"/>
  <c r="F258"/>
  <c r="F256" s="1"/>
  <c r="F247" s="1"/>
  <c r="D45" i="26" s="1"/>
  <c r="F257" i="25"/>
  <c r="F255"/>
  <c r="F254"/>
  <c r="F253"/>
  <c r="F252"/>
  <c r="F250"/>
  <c r="F249" s="1"/>
  <c r="F248" s="1"/>
  <c r="F245"/>
  <c r="F244"/>
  <c r="F242" s="1"/>
  <c r="F239" s="1"/>
  <c r="F243"/>
  <c r="F238"/>
  <c r="F237" s="1"/>
  <c r="F236" s="1"/>
  <c r="F235"/>
  <c r="F234" s="1"/>
  <c r="F233"/>
  <c r="F232" s="1"/>
  <c r="F231"/>
  <c r="F230" s="1"/>
  <c r="F229"/>
  <c r="F228" s="1"/>
  <c r="F227"/>
  <c r="F226" s="1"/>
  <c r="F224"/>
  <c r="F223" s="1"/>
  <c r="F222" s="1"/>
  <c r="D41" i="26" s="1"/>
  <c r="F215" i="25"/>
  <c r="D51" i="24" s="1"/>
  <c r="F214" i="25"/>
  <c r="D50" i="24" s="1"/>
  <c r="F213" i="25"/>
  <c r="F211"/>
  <c r="F210" s="1"/>
  <c r="F208"/>
  <c r="F207" s="1"/>
  <c r="F206"/>
  <c r="F205" s="1"/>
  <c r="F203"/>
  <c r="F202" s="1"/>
  <c r="F201"/>
  <c r="F200" s="1"/>
  <c r="F199"/>
  <c r="F196" s="1"/>
  <c r="F198"/>
  <c r="F195"/>
  <c r="F194" s="1"/>
  <c r="F193"/>
  <c r="F192" s="1"/>
  <c r="F191"/>
  <c r="F190" s="1"/>
  <c r="F189" s="1"/>
  <c r="D39" i="26" s="1"/>
  <c r="F188" i="25"/>
  <c r="F187" s="1"/>
  <c r="F186"/>
  <c r="F185" s="1"/>
  <c r="F184" s="1"/>
  <c r="F183"/>
  <c r="F182" s="1"/>
  <c r="F181"/>
  <c r="F180"/>
  <c r="F179"/>
  <c r="F178" s="1"/>
  <c r="F177"/>
  <c r="F176" s="1"/>
  <c r="F175"/>
  <c r="F174" s="1"/>
  <c r="F173" s="1"/>
  <c r="D38" i="26" s="1"/>
  <c r="F171" i="25"/>
  <c r="F170" s="1"/>
  <c r="F169"/>
  <c r="F168" s="1"/>
  <c r="F167"/>
  <c r="F166"/>
  <c r="F164" s="1"/>
  <c r="F163" s="1"/>
  <c r="D36" i="26" s="1"/>
  <c r="F165" i="25"/>
  <c r="F162"/>
  <c r="F161" s="1"/>
  <c r="F160"/>
  <c r="F159"/>
  <c r="F157"/>
  <c r="F156" s="1"/>
  <c r="F155"/>
  <c r="F154" s="1"/>
  <c r="F153"/>
  <c r="F152" s="1"/>
  <c r="F149"/>
  <c r="F148" s="1"/>
  <c r="F141"/>
  <c r="F140" s="1"/>
  <c r="F139"/>
  <c r="F138" s="1"/>
  <c r="F137"/>
  <c r="F136" s="1"/>
  <c r="F135"/>
  <c r="F134" s="1"/>
  <c r="F133"/>
  <c r="F132" s="1"/>
  <c r="F129"/>
  <c r="F128" s="1"/>
  <c r="F125" s="1"/>
  <c r="D31" i="26" s="1"/>
  <c r="F127" i="25"/>
  <c r="F126" s="1"/>
  <c r="F124"/>
  <c r="F123" s="1"/>
  <c r="F122"/>
  <c r="F121" s="1"/>
  <c r="F120"/>
  <c r="F119" s="1"/>
  <c r="F118"/>
  <c r="F116"/>
  <c r="F113"/>
  <c r="F112" s="1"/>
  <c r="F111" s="1"/>
  <c r="F110"/>
  <c r="F109" s="1"/>
  <c r="F108" s="1"/>
  <c r="F106"/>
  <c r="F105" s="1"/>
  <c r="F104" s="1"/>
  <c r="D29" i="26" s="1"/>
  <c r="F102" i="25"/>
  <c r="F101" s="1"/>
  <c r="F100" s="1"/>
  <c r="D27" i="26" s="1"/>
  <c r="F97" i="25"/>
  <c r="F96"/>
  <c r="F95"/>
  <c r="F94" s="1"/>
  <c r="F93" s="1"/>
  <c r="F91"/>
  <c r="F90" s="1"/>
  <c r="F89"/>
  <c r="F88" s="1"/>
  <c r="F86"/>
  <c r="F85"/>
  <c r="F84" s="1"/>
  <c r="F83"/>
  <c r="F81"/>
  <c r="F80" s="1"/>
  <c r="F79"/>
  <c r="F78" s="1"/>
  <c r="F77"/>
  <c r="F76"/>
  <c r="F75"/>
  <c r="F73"/>
  <c r="F72" s="1"/>
  <c r="F71"/>
  <c r="F70" s="1"/>
  <c r="F69"/>
  <c r="F68" s="1"/>
  <c r="F67" s="1"/>
  <c r="F66"/>
  <c r="F65"/>
  <c r="F64"/>
  <c r="F62"/>
  <c r="F61"/>
  <c r="F60"/>
  <c r="F59"/>
  <c r="F58" s="1"/>
  <c r="F57"/>
  <c r="F56" s="1"/>
  <c r="F55" s="1"/>
  <c r="F54"/>
  <c r="F53" s="1"/>
  <c r="F52" s="1"/>
  <c r="F50"/>
  <c r="F49" s="1"/>
  <c r="F48" s="1"/>
  <c r="D23" i="26" s="1"/>
  <c r="F47" i="25"/>
  <c r="F46"/>
  <c r="F45"/>
  <c r="F43"/>
  <c r="F42"/>
  <c r="F41"/>
  <c r="F38"/>
  <c r="F35" s="1"/>
  <c r="F34" s="1"/>
  <c r="F36"/>
  <c r="F33"/>
  <c r="F32" s="1"/>
  <c r="F31" s="1"/>
  <c r="F30" s="1"/>
  <c r="D21" i="26" s="1"/>
  <c r="F29" i="25"/>
  <c r="F28"/>
  <c r="F27"/>
  <c r="F23"/>
  <c r="F22" s="1"/>
  <c r="F21" s="1"/>
  <c r="F20" s="1"/>
  <c r="I128" i="9"/>
  <c r="I127"/>
  <c r="I126" s="1"/>
  <c r="H128"/>
  <c r="H127" s="1"/>
  <c r="H126" s="1"/>
  <c r="G128"/>
  <c r="G127"/>
  <c r="G126" s="1"/>
  <c r="G78"/>
  <c r="G276"/>
  <c r="G136"/>
  <c r="G135" s="1"/>
  <c r="H109"/>
  <c r="I109"/>
  <c r="G109"/>
  <c r="H112"/>
  <c r="H108" s="1"/>
  <c r="I112"/>
  <c r="I108"/>
  <c r="G112"/>
  <c r="G47"/>
  <c r="F82" i="25" s="1"/>
  <c r="H337" i="9"/>
  <c r="I337"/>
  <c r="G337"/>
  <c r="H276"/>
  <c r="I276"/>
  <c r="G261"/>
  <c r="G250"/>
  <c r="G249" s="1"/>
  <c r="G248" s="1"/>
  <c r="G244"/>
  <c r="G243"/>
  <c r="G196"/>
  <c r="G195"/>
  <c r="G194" s="1"/>
  <c r="G193" s="1"/>
  <c r="G189"/>
  <c r="G188"/>
  <c r="G187" s="1"/>
  <c r="G186" s="1"/>
  <c r="G173"/>
  <c r="G160"/>
  <c r="G139"/>
  <c r="G163"/>
  <c r="H160"/>
  <c r="H159"/>
  <c r="I160"/>
  <c r="I159"/>
  <c r="G121"/>
  <c r="G120"/>
  <c r="G119" s="1"/>
  <c r="G118" s="1"/>
  <c r="G84"/>
  <c r="G83"/>
  <c r="G76"/>
  <c r="G75" s="1"/>
  <c r="G74" s="1"/>
  <c r="G385"/>
  <c r="G384" s="1"/>
  <c r="G380"/>
  <c r="G379" s="1"/>
  <c r="G373"/>
  <c r="G372" s="1"/>
  <c r="G370"/>
  <c r="G369" s="1"/>
  <c r="D54" i="26" s="1"/>
  <c r="G365" i="9"/>
  <c r="G363"/>
  <c r="G359"/>
  <c r="G355"/>
  <c r="G354"/>
  <c r="G352"/>
  <c r="G350"/>
  <c r="G348"/>
  <c r="G346"/>
  <c r="G339"/>
  <c r="G334"/>
  <c r="G333" s="1"/>
  <c r="G331"/>
  <c r="G330" s="1"/>
  <c r="G328"/>
  <c r="G324"/>
  <c r="G322"/>
  <c r="G319"/>
  <c r="G317"/>
  <c r="G314"/>
  <c r="G312"/>
  <c r="G306"/>
  <c r="G304"/>
  <c r="G302"/>
  <c r="G299"/>
  <c r="G297"/>
  <c r="G294"/>
  <c r="G290"/>
  <c r="G288"/>
  <c r="G286"/>
  <c r="G281"/>
  <c r="G279"/>
  <c r="G274"/>
  <c r="G273" s="1"/>
  <c r="G270"/>
  <c r="G269" s="1"/>
  <c r="G267"/>
  <c r="G266" s="1"/>
  <c r="G265" s="1"/>
  <c r="G259"/>
  <c r="G257"/>
  <c r="G208"/>
  <c r="G207" s="1"/>
  <c r="G203"/>
  <c r="G184"/>
  <c r="G183"/>
  <c r="G179"/>
  <c r="G178" s="1"/>
  <c r="G176"/>
  <c r="G171"/>
  <c r="G169"/>
  <c r="G166" s="1"/>
  <c r="G167"/>
  <c r="G155"/>
  <c r="G153"/>
  <c r="G150"/>
  <c r="G151"/>
  <c r="G147"/>
  <c r="G145"/>
  <c r="G143"/>
  <c r="G133"/>
  <c r="G132"/>
  <c r="G116"/>
  <c r="G115"/>
  <c r="G114" s="1"/>
  <c r="G106"/>
  <c r="G104"/>
  <c r="G102"/>
  <c r="G101" s="1"/>
  <c r="G99"/>
  <c r="G98" s="1"/>
  <c r="G96"/>
  <c r="G95" s="1"/>
  <c r="G91"/>
  <c r="G88"/>
  <c r="G72"/>
  <c r="G71" s="1"/>
  <c r="G70" s="1"/>
  <c r="G68"/>
  <c r="G67"/>
  <c r="G66" s="1"/>
  <c r="G64"/>
  <c r="G63" s="1"/>
  <c r="G62" s="1"/>
  <c r="G60"/>
  <c r="G56"/>
  <c r="G55" s="1"/>
  <c r="G54" s="1"/>
  <c r="G51"/>
  <c r="G49"/>
  <c r="G45"/>
  <c r="G43"/>
  <c r="G41"/>
  <c r="G38"/>
  <c r="G37" s="1"/>
  <c r="G35"/>
  <c r="G34" s="1"/>
  <c r="G32"/>
  <c r="G31" s="1"/>
  <c r="G26"/>
  <c r="G24"/>
  <c r="H254" i="25"/>
  <c r="H79" i="9"/>
  <c r="I238"/>
  <c r="I237" s="1"/>
  <c r="H238"/>
  <c r="F70" i="24"/>
  <c r="F69" s="1"/>
  <c r="E70"/>
  <c r="E69" s="1"/>
  <c r="E26"/>
  <c r="E25" s="1"/>
  <c r="E47"/>
  <c r="E46" s="1"/>
  <c r="F264"/>
  <c r="F263" s="1"/>
  <c r="E264"/>
  <c r="E263" s="1"/>
  <c r="E81"/>
  <c r="E80" s="1"/>
  <c r="E79" s="1"/>
  <c r="F76"/>
  <c r="F75" s="1"/>
  <c r="E76"/>
  <c r="E75" s="1"/>
  <c r="H207" i="25"/>
  <c r="H204" s="1"/>
  <c r="G208"/>
  <c r="G207" s="1"/>
  <c r="G211"/>
  <c r="G210" s="1"/>
  <c r="G177"/>
  <c r="G176" s="1"/>
  <c r="H91"/>
  <c r="H90" s="1"/>
  <c r="G91"/>
  <c r="G90" s="1"/>
  <c r="H140"/>
  <c r="G141"/>
  <c r="G140" s="1"/>
  <c r="H133"/>
  <c r="H132" s="1"/>
  <c r="G133"/>
  <c r="G132" s="1"/>
  <c r="I51" i="9"/>
  <c r="H51"/>
  <c r="I76"/>
  <c r="H76"/>
  <c r="I78"/>
  <c r="H148"/>
  <c r="I148"/>
  <c r="I147" s="1"/>
  <c r="I317"/>
  <c r="H317"/>
  <c r="I313"/>
  <c r="H201" i="25" s="1"/>
  <c r="H200" s="1"/>
  <c r="H155" i="9"/>
  <c r="I155"/>
  <c r="I289"/>
  <c r="F26" i="24"/>
  <c r="F25" s="1"/>
  <c r="H288" i="9"/>
  <c r="I323"/>
  <c r="I322" s="1"/>
  <c r="H322"/>
  <c r="I103"/>
  <c r="H284" i="25"/>
  <c r="H283" s="1"/>
  <c r="H103" i="9"/>
  <c r="G284" i="25" s="1"/>
  <c r="G283" s="1"/>
  <c r="H189" i="9"/>
  <c r="H188" s="1"/>
  <c r="H187" s="1"/>
  <c r="H186" s="1"/>
  <c r="I292"/>
  <c r="H180" i="25" s="1"/>
  <c r="H227" i="9"/>
  <c r="G253" i="25" s="1"/>
  <c r="I235" i="9"/>
  <c r="H235"/>
  <c r="H233"/>
  <c r="I252"/>
  <c r="H252"/>
  <c r="G321" i="25" s="1"/>
  <c r="H292" i="9"/>
  <c r="H54" i="25"/>
  <c r="H53" s="1"/>
  <c r="H52" s="1"/>
  <c r="G54"/>
  <c r="G53" s="1"/>
  <c r="G52" s="1"/>
  <c r="H32" i="9"/>
  <c r="H31" s="1"/>
  <c r="I32"/>
  <c r="I31" s="1"/>
  <c r="I315"/>
  <c r="I314" s="1"/>
  <c r="E72" i="24"/>
  <c r="E71" s="1"/>
  <c r="G326" i="25"/>
  <c r="G325" s="1"/>
  <c r="G324" s="1"/>
  <c r="G323" s="1"/>
  <c r="H250"/>
  <c r="H249" s="1"/>
  <c r="H248" s="1"/>
  <c r="G250"/>
  <c r="G249"/>
  <c r="G248" s="1"/>
  <c r="I223" i="9"/>
  <c r="H223"/>
  <c r="H177"/>
  <c r="G74" i="14"/>
  <c r="H74" s="1"/>
  <c r="H73" s="1"/>
  <c r="H66" s="1"/>
  <c r="H65" s="1"/>
  <c r="H140" i="9"/>
  <c r="G116" i="25"/>
  <c r="H215" i="9"/>
  <c r="I234"/>
  <c r="I246"/>
  <c r="F146" i="24"/>
  <c r="I245" i="9"/>
  <c r="I240"/>
  <c r="I239" s="1"/>
  <c r="I236"/>
  <c r="I231"/>
  <c r="I232"/>
  <c r="F132" i="24" s="1"/>
  <c r="H226" i="9"/>
  <c r="I226" s="1"/>
  <c r="I229"/>
  <c r="F129" i="24" s="1"/>
  <c r="I216" i="9"/>
  <c r="I214"/>
  <c r="I97"/>
  <c r="F227" i="24" s="1"/>
  <c r="F226" s="1"/>
  <c r="I123" i="9"/>
  <c r="H46" i="25"/>
  <c r="I124" i="9"/>
  <c r="H47" i="25"/>
  <c r="F78" i="24"/>
  <c r="F77"/>
  <c r="F38"/>
  <c r="F39"/>
  <c r="E224"/>
  <c r="E223"/>
  <c r="I382" i="9"/>
  <c r="H42" i="25"/>
  <c r="I383" i="9"/>
  <c r="F222" i="24"/>
  <c r="I381" i="9"/>
  <c r="F220" i="24"/>
  <c r="I375" i="9"/>
  <c r="F165" i="24"/>
  <c r="I376" i="9"/>
  <c r="F166" i="24"/>
  <c r="I374" i="9"/>
  <c r="H314" i="25"/>
  <c r="H313" s="1"/>
  <c r="H312" s="1"/>
  <c r="F55" i="26" s="1"/>
  <c r="E161" i="24"/>
  <c r="F161"/>
  <c r="G305" i="25"/>
  <c r="G306"/>
  <c r="H306" s="1"/>
  <c r="E155" i="24"/>
  <c r="I367" i="9"/>
  <c r="H305" i="25" s="1"/>
  <c r="I368" i="9"/>
  <c r="I366"/>
  <c r="H304" i="25"/>
  <c r="H365" i="9"/>
  <c r="I361"/>
  <c r="F154" i="24" s="1"/>
  <c r="I362" i="9"/>
  <c r="H300" i="25" s="1"/>
  <c r="F153" i="24"/>
  <c r="I311" i="9"/>
  <c r="I308"/>
  <c r="I341"/>
  <c r="F60" i="24"/>
  <c r="I342" i="9"/>
  <c r="H245" i="25"/>
  <c r="I326" i="9"/>
  <c r="I327"/>
  <c r="H215" i="25" s="1"/>
  <c r="F51" i="24" s="1"/>
  <c r="I307" i="9"/>
  <c r="F36" i="24" s="1"/>
  <c r="F35" s="1"/>
  <c r="I137" i="9"/>
  <c r="I136"/>
  <c r="I135" s="1"/>
  <c r="I168"/>
  <c r="H153" i="25" s="1"/>
  <c r="H152" s="1"/>
  <c r="I142" i="9"/>
  <c r="H118" i="25"/>
  <c r="I293" i="9"/>
  <c r="H181" i="25"/>
  <c r="I287" i="9"/>
  <c r="I268"/>
  <c r="I267" s="1"/>
  <c r="I266" s="1"/>
  <c r="I263"/>
  <c r="H76" i="25" s="1"/>
  <c r="I264" i="9"/>
  <c r="I262"/>
  <c r="I258"/>
  <c r="H69" i="25"/>
  <c r="H68" s="1"/>
  <c r="H67" s="1"/>
  <c r="G69"/>
  <c r="G68" s="1"/>
  <c r="G67" s="1"/>
  <c r="I208" i="9"/>
  <c r="I207" s="1"/>
  <c r="H208"/>
  <c r="H207" s="1"/>
  <c r="I205"/>
  <c r="I206"/>
  <c r="H66" i="25"/>
  <c r="I204" i="9"/>
  <c r="I181"/>
  <c r="F99" i="24" s="1"/>
  <c r="I182" i="9"/>
  <c r="I180"/>
  <c r="H165" i="25"/>
  <c r="I174" i="9"/>
  <c r="H157" i="25"/>
  <c r="H156" s="1"/>
  <c r="I154" i="9"/>
  <c r="I153"/>
  <c r="I144"/>
  <c r="F194" i="24"/>
  <c r="F193" s="1"/>
  <c r="I122" i="9"/>
  <c r="F239" i="24" s="1"/>
  <c r="F238" s="1"/>
  <c r="I117" i="9"/>
  <c r="H116"/>
  <c r="H115"/>
  <c r="H114" s="1"/>
  <c r="H91"/>
  <c r="I92"/>
  <c r="I90"/>
  <c r="I89"/>
  <c r="F179" i="24"/>
  <c r="F178" s="1"/>
  <c r="I61" i="9"/>
  <c r="I58"/>
  <c r="F115" i="24"/>
  <c r="I46" i="9"/>
  <c r="F231" i="24"/>
  <c r="F230" s="1"/>
  <c r="I42" i="9"/>
  <c r="H62" i="25" s="1"/>
  <c r="H61" s="1"/>
  <c r="I28" i="9"/>
  <c r="F236" i="24" s="1"/>
  <c r="I29" i="9"/>
  <c r="F237" i="24" s="1"/>
  <c r="I27" i="9"/>
  <c r="H36" i="25" s="1"/>
  <c r="I25" i="9"/>
  <c r="F233" i="24" s="1"/>
  <c r="F232" s="1"/>
  <c r="F205"/>
  <c r="E205"/>
  <c r="E108"/>
  <c r="G160" i="25"/>
  <c r="G158" s="1"/>
  <c r="H171"/>
  <c r="H170"/>
  <c r="G171"/>
  <c r="G170"/>
  <c r="G215"/>
  <c r="E51" i="24"/>
  <c r="G213" i="25"/>
  <c r="E49" i="24"/>
  <c r="E48" s="1"/>
  <c r="E45" s="1"/>
  <c r="E38"/>
  <c r="I281" i="9"/>
  <c r="H281"/>
  <c r="H244"/>
  <c r="H243" s="1"/>
  <c r="H173"/>
  <c r="E92" i="24"/>
  <c r="E91" s="1"/>
  <c r="E63"/>
  <c r="E62" s="1"/>
  <c r="E135"/>
  <c r="E134" s="1"/>
  <c r="G260" i="25"/>
  <c r="E165" i="24"/>
  <c r="H309" i="25"/>
  <c r="H308" s="1"/>
  <c r="G309"/>
  <c r="G308" s="1"/>
  <c r="I370" i="9"/>
  <c r="I369" s="1"/>
  <c r="H370"/>
  <c r="H369"/>
  <c r="E154" i="24"/>
  <c r="E152" s="1"/>
  <c r="E153"/>
  <c r="G299" i="25"/>
  <c r="G300"/>
  <c r="G298"/>
  <c r="G297" s="1"/>
  <c r="H359" i="9"/>
  <c r="I328"/>
  <c r="H328"/>
  <c r="H299"/>
  <c r="H296" s="1"/>
  <c r="H186" i="25"/>
  <c r="H185" s="1"/>
  <c r="G186"/>
  <c r="G185" s="1"/>
  <c r="I297" i="9"/>
  <c r="H297"/>
  <c r="H129" i="25"/>
  <c r="H128" s="1"/>
  <c r="G129"/>
  <c r="G128" s="1"/>
  <c r="I270" i="9"/>
  <c r="I269" s="1"/>
  <c r="H270"/>
  <c r="H269" s="1"/>
  <c r="H267"/>
  <c r="H266" s="1"/>
  <c r="F168" i="24"/>
  <c r="F167" s="1"/>
  <c r="E168"/>
  <c r="E167" s="1"/>
  <c r="G311" i="25"/>
  <c r="G310" s="1"/>
  <c r="H310"/>
  <c r="I184" i="9"/>
  <c r="I183" s="1"/>
  <c r="H184"/>
  <c r="H183" s="1"/>
  <c r="G113" i="25"/>
  <c r="G112" s="1"/>
  <c r="G111" s="1"/>
  <c r="H136" i="9"/>
  <c r="H135" s="1"/>
  <c r="E192" i="24"/>
  <c r="G118" i="25"/>
  <c r="H88" i="9"/>
  <c r="E237" i="24"/>
  <c r="H83" i="25"/>
  <c r="G83"/>
  <c r="I47" i="9"/>
  <c r="H82" i="25" s="1"/>
  <c r="H47" i="9"/>
  <c r="G82" i="25" s="1"/>
  <c r="H135"/>
  <c r="H134" s="1"/>
  <c r="F34" i="24"/>
  <c r="F33" s="1"/>
  <c r="E34"/>
  <c r="E33" s="1"/>
  <c r="H193" i="25"/>
  <c r="H192" s="1"/>
  <c r="G193"/>
  <c r="G192" s="1"/>
  <c r="I304" i="9"/>
  <c r="H304"/>
  <c r="H169" i="25"/>
  <c r="H168" s="1"/>
  <c r="I279" i="9"/>
  <c r="I278" s="1"/>
  <c r="H197" i="25"/>
  <c r="H196" s="1"/>
  <c r="F28" i="24"/>
  <c r="E28"/>
  <c r="E27" s="1"/>
  <c r="H179" i="25"/>
  <c r="G179"/>
  <c r="G178" s="1"/>
  <c r="E103" i="24"/>
  <c r="E102"/>
  <c r="G155" i="25"/>
  <c r="G154"/>
  <c r="I85" i="9"/>
  <c r="I84"/>
  <c r="I83" s="1"/>
  <c r="H84"/>
  <c r="H83" s="1"/>
  <c r="H133"/>
  <c r="H132" s="1"/>
  <c r="H143"/>
  <c r="I145"/>
  <c r="G122" i="25"/>
  <c r="G121" s="1"/>
  <c r="E194" i="24"/>
  <c r="E193" s="1"/>
  <c r="G120" i="25"/>
  <c r="G119" s="1"/>
  <c r="H188"/>
  <c r="H187" s="1"/>
  <c r="H184" s="1"/>
  <c r="G183"/>
  <c r="G182" s="1"/>
  <c r="G203"/>
  <c r="G202" s="1"/>
  <c r="H198"/>
  <c r="H314" i="9"/>
  <c r="H294"/>
  <c r="E44" i="24"/>
  <c r="E43" s="1"/>
  <c r="G58" i="14"/>
  <c r="I299" i="9"/>
  <c r="A46" i="26"/>
  <c r="A52"/>
  <c r="C19" i="20"/>
  <c r="D19"/>
  <c r="H13" i="19"/>
  <c r="I14"/>
  <c r="J15"/>
  <c r="J14" s="1"/>
  <c r="J16"/>
  <c r="I19"/>
  <c r="J19"/>
  <c r="I20"/>
  <c r="J20"/>
  <c r="I21"/>
  <c r="J21"/>
  <c r="I22"/>
  <c r="J22"/>
  <c r="G23"/>
  <c r="G18"/>
  <c r="G17" s="1"/>
  <c r="G16" s="1"/>
  <c r="G15" s="1"/>
  <c r="H23"/>
  <c r="H18"/>
  <c r="H17" s="1"/>
  <c r="I23"/>
  <c r="J23"/>
  <c r="I24"/>
  <c r="J24"/>
  <c r="I25"/>
  <c r="J25"/>
  <c r="G26"/>
  <c r="H26"/>
  <c r="I26" s="1"/>
  <c r="J26" s="1"/>
  <c r="I27"/>
  <c r="J27"/>
  <c r="G28"/>
  <c r="H31"/>
  <c r="H30" s="1"/>
  <c r="I31"/>
  <c r="J31"/>
  <c r="J33"/>
  <c r="G34"/>
  <c r="G33" s="1"/>
  <c r="H34"/>
  <c r="H33" s="1"/>
  <c r="J34"/>
  <c r="J35"/>
  <c r="G38"/>
  <c r="H38"/>
  <c r="G41"/>
  <c r="G40"/>
  <c r="G37" s="1"/>
  <c r="G36" s="1"/>
  <c r="H41"/>
  <c r="I41"/>
  <c r="J41" s="1"/>
  <c r="I42"/>
  <c r="J42" s="1"/>
  <c r="I43"/>
  <c r="J43" s="1"/>
  <c r="I44"/>
  <c r="J44"/>
  <c r="I45"/>
  <c r="J45"/>
  <c r="I46"/>
  <c r="J46"/>
  <c r="I47"/>
  <c r="J47"/>
  <c r="G50"/>
  <c r="H50"/>
  <c r="H49"/>
  <c r="I50"/>
  <c r="I49"/>
  <c r="J50"/>
  <c r="J49"/>
  <c r="I52"/>
  <c r="J52"/>
  <c r="G53"/>
  <c r="G52"/>
  <c r="G49" s="1"/>
  <c r="I53"/>
  <c r="J53"/>
  <c r="I54"/>
  <c r="J54"/>
  <c r="G57"/>
  <c r="G56"/>
  <c r="H57"/>
  <c r="H56" s="1"/>
  <c r="I58"/>
  <c r="J58" s="1"/>
  <c r="I59"/>
  <c r="J59" s="1"/>
  <c r="G61"/>
  <c r="G60" s="1"/>
  <c r="H61"/>
  <c r="H60" s="1"/>
  <c r="J61"/>
  <c r="J60" s="1"/>
  <c r="I62"/>
  <c r="I61" s="1"/>
  <c r="I60" s="1"/>
  <c r="G65"/>
  <c r="G64"/>
  <c r="G63" s="1"/>
  <c r="H65"/>
  <c r="H64" s="1"/>
  <c r="H63" s="1"/>
  <c r="I65"/>
  <c r="I64"/>
  <c r="I63" s="1"/>
  <c r="J65"/>
  <c r="J64" s="1"/>
  <c r="J63" s="1"/>
  <c r="G70"/>
  <c r="G69"/>
  <c r="H70"/>
  <c r="I70"/>
  <c r="I71"/>
  <c r="J71"/>
  <c r="G72"/>
  <c r="H72"/>
  <c r="H69" s="1"/>
  <c r="H68" s="1"/>
  <c r="I73"/>
  <c r="J73"/>
  <c r="G74"/>
  <c r="H74"/>
  <c r="I76"/>
  <c r="J76"/>
  <c r="I77"/>
  <c r="J77" s="1"/>
  <c r="I78"/>
  <c r="J78" s="1"/>
  <c r="G79"/>
  <c r="G76" s="1"/>
  <c r="H81"/>
  <c r="G85"/>
  <c r="H85"/>
  <c r="I85"/>
  <c r="J85" s="1"/>
  <c r="I86"/>
  <c r="J86" s="1"/>
  <c r="I87"/>
  <c r="J87" s="1"/>
  <c r="G88"/>
  <c r="H88"/>
  <c r="I88"/>
  <c r="J88" s="1"/>
  <c r="I89"/>
  <c r="J89" s="1"/>
  <c r="G90"/>
  <c r="H90"/>
  <c r="I90"/>
  <c r="J90" s="1"/>
  <c r="I91"/>
  <c r="J91" s="1"/>
  <c r="G92"/>
  <c r="H92"/>
  <c r="I92"/>
  <c r="J92" s="1"/>
  <c r="I93"/>
  <c r="J93" s="1"/>
  <c r="I94"/>
  <c r="J94"/>
  <c r="I95"/>
  <c r="J95" s="1"/>
  <c r="G98"/>
  <c r="G97" s="1"/>
  <c r="G96" s="1"/>
  <c r="H98"/>
  <c r="H97"/>
  <c r="I99"/>
  <c r="J99"/>
  <c r="I100"/>
  <c r="J100"/>
  <c r="I101"/>
  <c r="J101"/>
  <c r="I102"/>
  <c r="J102"/>
  <c r="I103"/>
  <c r="J103"/>
  <c r="I104"/>
  <c r="J104"/>
  <c r="I106"/>
  <c r="I105"/>
  <c r="G107"/>
  <c r="G106"/>
  <c r="G105" s="1"/>
  <c r="H107"/>
  <c r="H106" s="1"/>
  <c r="H105" s="1"/>
  <c r="J107"/>
  <c r="J106"/>
  <c r="J105" s="1"/>
  <c r="G113"/>
  <c r="G112" s="1"/>
  <c r="H113"/>
  <c r="I114"/>
  <c r="J114"/>
  <c r="G116"/>
  <c r="G115"/>
  <c r="G118"/>
  <c r="H118"/>
  <c r="I118"/>
  <c r="J118"/>
  <c r="G120"/>
  <c r="H120"/>
  <c r="I120" s="1"/>
  <c r="J120" s="1"/>
  <c r="I121"/>
  <c r="J121"/>
  <c r="I122"/>
  <c r="J122"/>
  <c r="I123"/>
  <c r="J123" s="1"/>
  <c r="G124"/>
  <c r="G123" s="1"/>
  <c r="I124"/>
  <c r="J124"/>
  <c r="I125"/>
  <c r="J125"/>
  <c r="I126"/>
  <c r="J126"/>
  <c r="I127"/>
  <c r="J127"/>
  <c r="I128"/>
  <c r="J128"/>
  <c r="I129"/>
  <c r="J129"/>
  <c r="I130"/>
  <c r="J130"/>
  <c r="I131"/>
  <c r="J131"/>
  <c r="I132"/>
  <c r="J132"/>
  <c r="I133"/>
  <c r="J133"/>
  <c r="I134"/>
  <c r="J134"/>
  <c r="G140"/>
  <c r="G139"/>
  <c r="G138" s="1"/>
  <c r="G137" s="1"/>
  <c r="G136" s="1"/>
  <c r="G135" s="1"/>
  <c r="H140"/>
  <c r="I140"/>
  <c r="J140" s="1"/>
  <c r="H139"/>
  <c r="I139" s="1"/>
  <c r="J139" s="1"/>
  <c r="I141"/>
  <c r="J141"/>
  <c r="I142"/>
  <c r="J142"/>
  <c r="I143"/>
  <c r="J143"/>
  <c r="I144"/>
  <c r="J144"/>
  <c r="I145"/>
  <c r="J145"/>
  <c r="I146"/>
  <c r="J146"/>
  <c r="I147"/>
  <c r="J147"/>
  <c r="I148"/>
  <c r="J148"/>
  <c r="I149"/>
  <c r="J149"/>
  <c r="I150"/>
  <c r="J150"/>
  <c r="I151"/>
  <c r="J151"/>
  <c r="I152"/>
  <c r="J152"/>
  <c r="I153"/>
  <c r="J153"/>
  <c r="I154"/>
  <c r="J154"/>
  <c r="I155"/>
  <c r="J155"/>
  <c r="G161"/>
  <c r="G160"/>
  <c r="G159" s="1"/>
  <c r="G158" s="1"/>
  <c r="G157" s="1"/>
  <c r="H161"/>
  <c r="I161" s="1"/>
  <c r="J161" s="1"/>
  <c r="I162"/>
  <c r="J162"/>
  <c r="I163"/>
  <c r="J163"/>
  <c r="I164"/>
  <c r="J164"/>
  <c r="I165"/>
  <c r="J165"/>
  <c r="I166"/>
  <c r="J166"/>
  <c r="I167"/>
  <c r="J167"/>
  <c r="I168"/>
  <c r="J168" s="1"/>
  <c r="I169"/>
  <c r="J169" s="1"/>
  <c r="G170"/>
  <c r="G169" s="1"/>
  <c r="I170"/>
  <c r="J170" s="1"/>
  <c r="I171"/>
  <c r="J171" s="1"/>
  <c r="G177"/>
  <c r="G176" s="1"/>
  <c r="G175" s="1"/>
  <c r="G174" s="1"/>
  <c r="G173" s="1"/>
  <c r="I178"/>
  <c r="J178"/>
  <c r="H179"/>
  <c r="H180"/>
  <c r="I180" s="1"/>
  <c r="J180" s="1"/>
  <c r="H181"/>
  <c r="I181"/>
  <c r="J181" s="1"/>
  <c r="H182"/>
  <c r="I182" s="1"/>
  <c r="J182" s="1"/>
  <c r="I183"/>
  <c r="J183"/>
  <c r="I184"/>
  <c r="J184"/>
  <c r="G186"/>
  <c r="G185"/>
  <c r="I186"/>
  <c r="J186"/>
  <c r="I187"/>
  <c r="J187"/>
  <c r="G192"/>
  <c r="G191"/>
  <c r="G190" s="1"/>
  <c r="G189" s="1"/>
  <c r="I193"/>
  <c r="J193"/>
  <c r="I194"/>
  <c r="J194"/>
  <c r="I195"/>
  <c r="J195"/>
  <c r="H196"/>
  <c r="H192"/>
  <c r="I196"/>
  <c r="J196"/>
  <c r="I197"/>
  <c r="J197"/>
  <c r="I198"/>
  <c r="J198"/>
  <c r="I199"/>
  <c r="J199"/>
  <c r="I200"/>
  <c r="G203"/>
  <c r="H203"/>
  <c r="J204"/>
  <c r="I206"/>
  <c r="J206"/>
  <c r="I203"/>
  <c r="I207"/>
  <c r="J207" s="1"/>
  <c r="I208"/>
  <c r="J208" s="1"/>
  <c r="G212"/>
  <c r="I213"/>
  <c r="J213"/>
  <c r="I214"/>
  <c r="J214"/>
  <c r="I215"/>
  <c r="J215"/>
  <c r="H216"/>
  <c r="I217"/>
  <c r="J217" s="1"/>
  <c r="I218"/>
  <c r="J218" s="1"/>
  <c r="I219"/>
  <c r="J219" s="1"/>
  <c r="H221"/>
  <c r="I221" s="1"/>
  <c r="J221" s="1"/>
  <c r="I222"/>
  <c r="J222"/>
  <c r="I223"/>
  <c r="J223"/>
  <c r="I224"/>
  <c r="J224"/>
  <c r="I225"/>
  <c r="J225"/>
  <c r="G228"/>
  <c r="G227"/>
  <c r="G202" s="1"/>
  <c r="H228"/>
  <c r="H227" s="1"/>
  <c r="I227" s="1"/>
  <c r="J227" s="1"/>
  <c r="I228"/>
  <c r="J228" s="1"/>
  <c r="I229"/>
  <c r="J229" s="1"/>
  <c r="I230"/>
  <c r="J230" s="1"/>
  <c r="I231"/>
  <c r="J231" s="1"/>
  <c r="G234"/>
  <c r="G233" s="1"/>
  <c r="G232" s="1"/>
  <c r="H234"/>
  <c r="I235"/>
  <c r="J235" s="1"/>
  <c r="I236"/>
  <c r="J236" s="1"/>
  <c r="I237"/>
  <c r="J237" s="1"/>
  <c r="I238"/>
  <c r="J238" s="1"/>
  <c r="G241"/>
  <c r="G240" s="1"/>
  <c r="G239" s="1"/>
  <c r="I242"/>
  <c r="J242"/>
  <c r="H243"/>
  <c r="I243"/>
  <c r="J243" s="1"/>
  <c r="H244"/>
  <c r="I244" s="1"/>
  <c r="J244" s="1"/>
  <c r="I245"/>
  <c r="J245"/>
  <c r="I246"/>
  <c r="J246"/>
  <c r="G252"/>
  <c r="G251"/>
  <c r="G250" s="1"/>
  <c r="G249" s="1"/>
  <c r="G248" s="1"/>
  <c r="H252"/>
  <c r="H251" s="1"/>
  <c r="I251" s="1"/>
  <c r="J251" s="1"/>
  <c r="I253"/>
  <c r="J253" s="1"/>
  <c r="I254"/>
  <c r="J254" s="1"/>
  <c r="I255"/>
  <c r="J255" s="1"/>
  <c r="I256"/>
  <c r="J256" s="1"/>
  <c r="I257"/>
  <c r="J257" s="1"/>
  <c r="I258"/>
  <c r="J258" s="1"/>
  <c r="I259"/>
  <c r="J259" s="1"/>
  <c r="I260"/>
  <c r="J260" s="1"/>
  <c r="G261"/>
  <c r="G260" s="1"/>
  <c r="G259" s="1"/>
  <c r="I261"/>
  <c r="J261"/>
  <c r="I262"/>
  <c r="J262"/>
  <c r="G266"/>
  <c r="H266"/>
  <c r="I268"/>
  <c r="J268"/>
  <c r="I269"/>
  <c r="J269"/>
  <c r="I270"/>
  <c r="J270"/>
  <c r="I271"/>
  <c r="J271"/>
  <c r="G272"/>
  <c r="H272"/>
  <c r="I273"/>
  <c r="J273"/>
  <c r="I274"/>
  <c r="I272" s="1"/>
  <c r="I275"/>
  <c r="J275" s="1"/>
  <c r="I276"/>
  <c r="J276" s="1"/>
  <c r="H278"/>
  <c r="I278" s="1"/>
  <c r="J278" s="1"/>
  <c r="H277"/>
  <c r="I277" s="1"/>
  <c r="J277" s="1"/>
  <c r="I279"/>
  <c r="J279" s="1"/>
  <c r="I280"/>
  <c r="J280" s="1"/>
  <c r="I281"/>
  <c r="J281" s="1"/>
  <c r="G282"/>
  <c r="G278" s="1"/>
  <c r="G277" s="1"/>
  <c r="I282"/>
  <c r="J282"/>
  <c r="I283"/>
  <c r="J283"/>
  <c r="I284"/>
  <c r="J284"/>
  <c r="I285"/>
  <c r="J285"/>
  <c r="I286"/>
  <c r="J286"/>
  <c r="I287"/>
  <c r="J287"/>
  <c r="I288"/>
  <c r="J288"/>
  <c r="I289"/>
  <c r="J289"/>
  <c r="I290"/>
  <c r="J290"/>
  <c r="I291"/>
  <c r="J291"/>
  <c r="I292"/>
  <c r="J292"/>
  <c r="I293"/>
  <c r="J293"/>
  <c r="I294"/>
  <c r="J294"/>
  <c r="G296"/>
  <c r="H296"/>
  <c r="I298"/>
  <c r="J298"/>
  <c r="G300"/>
  <c r="G295"/>
  <c r="H300"/>
  <c r="I300"/>
  <c r="J300" s="1"/>
  <c r="I301"/>
  <c r="J301" s="1"/>
  <c r="I302"/>
  <c r="J302" s="1"/>
  <c r="I303"/>
  <c r="J303" s="1"/>
  <c r="I304"/>
  <c r="J304" s="1"/>
  <c r="I305"/>
  <c r="J305" s="1"/>
  <c r="I306"/>
  <c r="J306" s="1"/>
  <c r="I307"/>
  <c r="J307" s="1"/>
  <c r="I308"/>
  <c r="J308" s="1"/>
  <c r="I309"/>
  <c r="J309" s="1"/>
  <c r="I310"/>
  <c r="J310" s="1"/>
  <c r="I311"/>
  <c r="J311" s="1"/>
  <c r="I312"/>
  <c r="J312" s="1"/>
  <c r="I313"/>
  <c r="J313" s="1"/>
  <c r="I314"/>
  <c r="J314" s="1"/>
  <c r="I315"/>
  <c r="J315" s="1"/>
  <c r="I316"/>
  <c r="J316" s="1"/>
  <c r="I317"/>
  <c r="J317" s="1"/>
  <c r="I318"/>
  <c r="J318" s="1"/>
  <c r="I319"/>
  <c r="J319" s="1"/>
  <c r="I320"/>
  <c r="J320" s="1"/>
  <c r="I321"/>
  <c r="J321" s="1"/>
  <c r="I322"/>
  <c r="J322" s="1"/>
  <c r="G325"/>
  <c r="G324" s="1"/>
  <c r="H325"/>
  <c r="I326"/>
  <c r="J326"/>
  <c r="I327"/>
  <c r="J327"/>
  <c r="I328"/>
  <c r="J328"/>
  <c r="I329"/>
  <c r="J329"/>
  <c r="G331"/>
  <c r="G330" s="1"/>
  <c r="H331"/>
  <c r="H330" s="1"/>
  <c r="I333"/>
  <c r="J333" s="1"/>
  <c r="I335"/>
  <c r="J335" s="1"/>
  <c r="I336"/>
  <c r="J336" s="1"/>
  <c r="I337"/>
  <c r="J337" s="1"/>
  <c r="I338"/>
  <c r="J338" s="1"/>
  <c r="I339"/>
  <c r="J339" s="1"/>
  <c r="G340"/>
  <c r="H340"/>
  <c r="I340" s="1"/>
  <c r="I341"/>
  <c r="J341"/>
  <c r="I342"/>
  <c r="J342"/>
  <c r="I343"/>
  <c r="J343"/>
  <c r="I344"/>
  <c r="J344"/>
  <c r="I351"/>
  <c r="J351"/>
  <c r="I352"/>
  <c r="J352"/>
  <c r="I353"/>
  <c r="J353"/>
  <c r="G354"/>
  <c r="G350"/>
  <c r="G349" s="1"/>
  <c r="G348" s="1"/>
  <c r="G347" s="1"/>
  <c r="H354"/>
  <c r="I355"/>
  <c r="J355" s="1"/>
  <c r="I356"/>
  <c r="J356" s="1"/>
  <c r="G359"/>
  <c r="G358" s="1"/>
  <c r="G357" s="1"/>
  <c r="H359"/>
  <c r="H357"/>
  <c r="G363"/>
  <c r="G362"/>
  <c r="G361" s="1"/>
  <c r="H363"/>
  <c r="H362" s="1"/>
  <c r="H361" s="1"/>
  <c r="I363"/>
  <c r="I362"/>
  <c r="I361" s="1"/>
  <c r="J364"/>
  <c r="J363" s="1"/>
  <c r="J362" s="1"/>
  <c r="J361" s="1"/>
  <c r="C20" i="16"/>
  <c r="G19" i="14"/>
  <c r="G20"/>
  <c r="H20" s="1"/>
  <c r="H18" s="1"/>
  <c r="H17" s="1"/>
  <c r="H21"/>
  <c r="G22"/>
  <c r="F32" i="13" s="1"/>
  <c r="G32" s="1"/>
  <c r="G23" i="14"/>
  <c r="H23" s="1"/>
  <c r="G25"/>
  <c r="F35" i="13" s="1"/>
  <c r="F34" s="1"/>
  <c r="G34" s="1"/>
  <c r="G26" i="14"/>
  <c r="H26"/>
  <c r="G31"/>
  <c r="H31" s="1"/>
  <c r="G32"/>
  <c r="H32" s="1"/>
  <c r="G33"/>
  <c r="H33" s="1"/>
  <c r="G34"/>
  <c r="H34" s="1"/>
  <c r="H30" s="1"/>
  <c r="G38"/>
  <c r="H38"/>
  <c r="G39"/>
  <c r="H39" s="1"/>
  <c r="G40"/>
  <c r="H40" s="1"/>
  <c r="G48"/>
  <c r="G47"/>
  <c r="G46" s="1"/>
  <c r="G41" s="1"/>
  <c r="G51"/>
  <c r="G50" s="1"/>
  <c r="G49" s="1"/>
  <c r="H51"/>
  <c r="H50"/>
  <c r="H49" s="1"/>
  <c r="G60"/>
  <c r="H60" s="1"/>
  <c r="H59" s="1"/>
  <c r="G62"/>
  <c r="G63"/>
  <c r="H63"/>
  <c r="G68"/>
  <c r="G67"/>
  <c r="H68"/>
  <c r="H67"/>
  <c r="G69"/>
  <c r="H69"/>
  <c r="G71"/>
  <c r="H71"/>
  <c r="G80"/>
  <c r="H80" s="1"/>
  <c r="G81"/>
  <c r="H81" s="1"/>
  <c r="G82"/>
  <c r="H82" s="1"/>
  <c r="G83"/>
  <c r="G85"/>
  <c r="G88"/>
  <c r="H88"/>
  <c r="H87" s="1"/>
  <c r="H84" s="1"/>
  <c r="G90"/>
  <c r="H90"/>
  <c r="G92"/>
  <c r="H92"/>
  <c r="G97"/>
  <c r="G95" s="1"/>
  <c r="H98"/>
  <c r="G100"/>
  <c r="G99" s="1"/>
  <c r="H100"/>
  <c r="H99" s="1"/>
  <c r="G102"/>
  <c r="H102"/>
  <c r="G104"/>
  <c r="H105"/>
  <c r="H104"/>
  <c r="G112"/>
  <c r="H112"/>
  <c r="H113"/>
  <c r="G114"/>
  <c r="H114" s="1"/>
  <c r="G115"/>
  <c r="F43" i="13"/>
  <c r="G43" s="1"/>
  <c r="G116" i="14"/>
  <c r="H116" s="1"/>
  <c r="G122"/>
  <c r="G120" s="1"/>
  <c r="G119" s="1"/>
  <c r="G118" s="1"/>
  <c r="G117" s="1"/>
  <c r="H122"/>
  <c r="H123"/>
  <c r="H120" s="1"/>
  <c r="H119" s="1"/>
  <c r="H118" s="1"/>
  <c r="H117" s="1"/>
  <c r="G130"/>
  <c r="H130"/>
  <c r="G20" i="13" s="1"/>
  <c r="G131" i="14"/>
  <c r="H131" s="1"/>
  <c r="G132"/>
  <c r="H132" s="1"/>
  <c r="G21" i="13" s="1"/>
  <c r="G133" i="14"/>
  <c r="H133" s="1"/>
  <c r="G22" i="13" s="1"/>
  <c r="G137" i="14"/>
  <c r="G136" s="1"/>
  <c r="H138"/>
  <c r="G145"/>
  <c r="G144" s="1"/>
  <c r="G143" s="1"/>
  <c r="G146"/>
  <c r="H146" s="1"/>
  <c r="G147"/>
  <c r="H147" s="1"/>
  <c r="G153"/>
  <c r="H153" s="1"/>
  <c r="G154"/>
  <c r="G152" s="1"/>
  <c r="G151" s="1"/>
  <c r="G156"/>
  <c r="H156" s="1"/>
  <c r="G157"/>
  <c r="H157" s="1"/>
  <c r="G160"/>
  <c r="H160"/>
  <c r="G162"/>
  <c r="H162"/>
  <c r="G166"/>
  <c r="H166" s="1"/>
  <c r="G167"/>
  <c r="G165" s="1"/>
  <c r="G164" s="1"/>
  <c r="G170"/>
  <c r="H170"/>
  <c r="G171"/>
  <c r="H171"/>
  <c r="G175"/>
  <c r="H175"/>
  <c r="G176"/>
  <c r="H179"/>
  <c r="G181"/>
  <c r="H181"/>
  <c r="G182"/>
  <c r="G183"/>
  <c r="H183" s="1"/>
  <c r="G188"/>
  <c r="H188" s="1"/>
  <c r="G190"/>
  <c r="H190" s="1"/>
  <c r="G191"/>
  <c r="H191" s="1"/>
  <c r="G198"/>
  <c r="H198" s="1"/>
  <c r="G199"/>
  <c r="H199" s="1"/>
  <c r="G200"/>
  <c r="H200" s="1"/>
  <c r="G201"/>
  <c r="H201" s="1"/>
  <c r="G208"/>
  <c r="H209"/>
  <c r="H210"/>
  <c r="G211"/>
  <c r="H211"/>
  <c r="H212"/>
  <c r="H213"/>
  <c r="H214"/>
  <c r="G216"/>
  <c r="H216"/>
  <c r="G222"/>
  <c r="H222" s="1"/>
  <c r="G223"/>
  <c r="H223" s="1"/>
  <c r="G224"/>
  <c r="H224" s="1"/>
  <c r="G225"/>
  <c r="H225" s="1"/>
  <c r="G227"/>
  <c r="G226" s="1"/>
  <c r="H226" s="1"/>
  <c r="H227"/>
  <c r="G149" i="13"/>
  <c r="G148" s="1"/>
  <c r="G233" i="14"/>
  <c r="H233" s="1"/>
  <c r="G234"/>
  <c r="H234" s="1"/>
  <c r="G235"/>
  <c r="H235" s="1"/>
  <c r="G236"/>
  <c r="H236" s="1"/>
  <c r="G237"/>
  <c r="H237" s="1"/>
  <c r="H238"/>
  <c r="G241"/>
  <c r="G240" s="1"/>
  <c r="H241"/>
  <c r="H240" s="1"/>
  <c r="G243"/>
  <c r="H243"/>
  <c r="G247"/>
  <c r="G250"/>
  <c r="F173" i="13" s="1"/>
  <c r="G173" s="1"/>
  <c r="G251" i="14"/>
  <c r="G252"/>
  <c r="F175" i="13" s="1"/>
  <c r="G175" s="1"/>
  <c r="G253" i="14"/>
  <c r="F176" i="13" s="1"/>
  <c r="G176" s="1"/>
  <c r="G254" i="14"/>
  <c r="H254" s="1"/>
  <c r="G258"/>
  <c r="G257" s="1"/>
  <c r="H258"/>
  <c r="G261"/>
  <c r="G260"/>
  <c r="H261"/>
  <c r="G264"/>
  <c r="H264" s="1"/>
  <c r="H263" s="1"/>
  <c r="G268"/>
  <c r="F228" i="13"/>
  <c r="F227" s="1"/>
  <c r="G270" i="14"/>
  <c r="G269"/>
  <c r="H269" s="1"/>
  <c r="H270"/>
  <c r="G276"/>
  <c r="G277"/>
  <c r="H277" s="1"/>
  <c r="G278"/>
  <c r="H278" s="1"/>
  <c r="H280"/>
  <c r="G281"/>
  <c r="G280"/>
  <c r="G285"/>
  <c r="G284" s="1"/>
  <c r="G286"/>
  <c r="H286" s="1"/>
  <c r="G287"/>
  <c r="H287" s="1"/>
  <c r="G294"/>
  <c r="G293" s="1"/>
  <c r="G292" s="1"/>
  <c r="G291" s="1"/>
  <c r="H295"/>
  <c r="G296"/>
  <c r="H296"/>
  <c r="H297"/>
  <c r="H298"/>
  <c r="G299"/>
  <c r="G300"/>
  <c r="H300"/>
  <c r="H299"/>
  <c r="G306"/>
  <c r="G305"/>
  <c r="G304" s="1"/>
  <c r="G303" s="1"/>
  <c r="H306"/>
  <c r="H305"/>
  <c r="H304" s="1"/>
  <c r="H303" s="1"/>
  <c r="G16" i="15"/>
  <c r="H16"/>
  <c r="G22"/>
  <c r="G21"/>
  <c r="G20" s="1"/>
  <c r="G19" s="1"/>
  <c r="G18" s="1"/>
  <c r="F23"/>
  <c r="F22" s="1"/>
  <c r="F21" s="1"/>
  <c r="F20" s="1"/>
  <c r="F19" s="1"/>
  <c r="F18" s="1"/>
  <c r="F17" s="1"/>
  <c r="H24"/>
  <c r="F28"/>
  <c r="F27"/>
  <c r="F26" s="1"/>
  <c r="F25" s="1"/>
  <c r="F24" s="1"/>
  <c r="G28"/>
  <c r="G27" s="1"/>
  <c r="G26" s="1"/>
  <c r="G25" s="1"/>
  <c r="G24" s="1"/>
  <c r="F33"/>
  <c r="F32"/>
  <c r="F31" s="1"/>
  <c r="F30" s="1"/>
  <c r="G33"/>
  <c r="G32"/>
  <c r="G31" s="1"/>
  <c r="F38"/>
  <c r="F37" s="1"/>
  <c r="F36" s="1"/>
  <c r="F35" s="1"/>
  <c r="G38"/>
  <c r="G37" s="1"/>
  <c r="G36" s="1"/>
  <c r="G35" s="1"/>
  <c r="F43"/>
  <c r="F42" s="1"/>
  <c r="F41" s="1"/>
  <c r="G43"/>
  <c r="G42"/>
  <c r="A46"/>
  <c r="B46"/>
  <c r="A47"/>
  <c r="B47"/>
  <c r="C47"/>
  <c r="A48"/>
  <c r="B48"/>
  <c r="C48"/>
  <c r="A49"/>
  <c r="B49"/>
  <c r="C49"/>
  <c r="F49"/>
  <c r="F48" s="1"/>
  <c r="F47" s="1"/>
  <c r="F46" s="1"/>
  <c r="F45" s="1"/>
  <c r="G49"/>
  <c r="G48"/>
  <c r="G47" s="1"/>
  <c r="G46" s="1"/>
  <c r="A50"/>
  <c r="B50"/>
  <c r="C50"/>
  <c r="B51"/>
  <c r="F53"/>
  <c r="F52"/>
  <c r="G53"/>
  <c r="G52"/>
  <c r="G51" s="1"/>
  <c r="H53"/>
  <c r="H52" s="1"/>
  <c r="H51" s="1"/>
  <c r="G57"/>
  <c r="G56" s="1"/>
  <c r="G55" s="1"/>
  <c r="H57"/>
  <c r="H56" s="1"/>
  <c r="H55" s="1"/>
  <c r="H61"/>
  <c r="H60" s="1"/>
  <c r="H59" s="1"/>
  <c r="G62"/>
  <c r="G61"/>
  <c r="G60" s="1"/>
  <c r="G59" s="1"/>
  <c r="H62"/>
  <c r="H66"/>
  <c r="H65" s="1"/>
  <c r="H64" s="1"/>
  <c r="G67"/>
  <c r="G66"/>
  <c r="G65" s="1"/>
  <c r="G64" s="1"/>
  <c r="H67"/>
  <c r="H71"/>
  <c r="H70" s="1"/>
  <c r="F72"/>
  <c r="F71" s="1"/>
  <c r="F70" s="1"/>
  <c r="F69" s="1"/>
  <c r="G72"/>
  <c r="G71" s="1"/>
  <c r="G70" s="1"/>
  <c r="H72"/>
  <c r="G76"/>
  <c r="G75" s="1"/>
  <c r="G74" s="1"/>
  <c r="F77"/>
  <c r="F76"/>
  <c r="F75" s="1"/>
  <c r="F74" s="1"/>
  <c r="G77"/>
  <c r="H77"/>
  <c r="H76" s="1"/>
  <c r="H75" s="1"/>
  <c r="H74" s="1"/>
  <c r="F20" i="13"/>
  <c r="F21"/>
  <c r="F22"/>
  <c r="F19" s="1"/>
  <c r="F23"/>
  <c r="F24"/>
  <c r="F31"/>
  <c r="G31" s="1"/>
  <c r="G36"/>
  <c r="G41"/>
  <c r="F45"/>
  <c r="G45"/>
  <c r="F46"/>
  <c r="G46"/>
  <c r="F47"/>
  <c r="G47"/>
  <c r="F48"/>
  <c r="G48"/>
  <c r="F49"/>
  <c r="G49"/>
  <c r="F50"/>
  <c r="G50"/>
  <c r="F51"/>
  <c r="G51"/>
  <c r="G54"/>
  <c r="G53"/>
  <c r="G52" s="1"/>
  <c r="F55"/>
  <c r="F54" s="1"/>
  <c r="F53" s="1"/>
  <c r="F52" s="1"/>
  <c r="F60"/>
  <c r="G60" s="1"/>
  <c r="G61"/>
  <c r="F62"/>
  <c r="G62"/>
  <c r="F63"/>
  <c r="G63"/>
  <c r="F64"/>
  <c r="G64"/>
  <c r="F66"/>
  <c r="G66"/>
  <c r="G67"/>
  <c r="F68"/>
  <c r="G68" s="1"/>
  <c r="G65" s="1"/>
  <c r="F69"/>
  <c r="G69"/>
  <c r="F75"/>
  <c r="G75"/>
  <c r="G76"/>
  <c r="F77"/>
  <c r="G77" s="1"/>
  <c r="F78"/>
  <c r="G78" s="1"/>
  <c r="F79"/>
  <c r="G79" s="1"/>
  <c r="F80"/>
  <c r="G80" s="1"/>
  <c r="F84"/>
  <c r="G85"/>
  <c r="F86"/>
  <c r="G86" s="1"/>
  <c r="F87"/>
  <c r="G87" s="1"/>
  <c r="F91"/>
  <c r="F90" s="1"/>
  <c r="G91"/>
  <c r="G92"/>
  <c r="G95"/>
  <c r="G94" s="1"/>
  <c r="G93" s="1"/>
  <c r="F96"/>
  <c r="F95" s="1"/>
  <c r="F94" s="1"/>
  <c r="F93" s="1"/>
  <c r="G97"/>
  <c r="F102"/>
  <c r="G102" s="1"/>
  <c r="G101" s="1"/>
  <c r="G100" s="1"/>
  <c r="G99" s="1"/>
  <c r="G98" s="1"/>
  <c r="F104"/>
  <c r="G104" s="1"/>
  <c r="G105"/>
  <c r="A107"/>
  <c r="G107"/>
  <c r="G106" s="1"/>
  <c r="F108"/>
  <c r="F107" s="1"/>
  <c r="F106" s="1"/>
  <c r="F113"/>
  <c r="F112"/>
  <c r="F111" s="1"/>
  <c r="F110" s="1"/>
  <c r="F114"/>
  <c r="F119"/>
  <c r="G119" s="1"/>
  <c r="G120"/>
  <c r="F121"/>
  <c r="F122"/>
  <c r="G122" s="1"/>
  <c r="F123"/>
  <c r="G123" s="1"/>
  <c r="G124"/>
  <c r="G129"/>
  <c r="F130"/>
  <c r="G130" s="1"/>
  <c r="F131"/>
  <c r="G131" s="1"/>
  <c r="F132"/>
  <c r="G132" s="1"/>
  <c r="F134"/>
  <c r="F133" s="1"/>
  <c r="G134"/>
  <c r="G133" s="1"/>
  <c r="F135"/>
  <c r="G135"/>
  <c r="F136"/>
  <c r="G136"/>
  <c r="A138"/>
  <c r="F138"/>
  <c r="G138"/>
  <c r="G141"/>
  <c r="G140" s="1"/>
  <c r="F143"/>
  <c r="G143" s="1"/>
  <c r="G144"/>
  <c r="F145"/>
  <c r="G145"/>
  <c r="F146"/>
  <c r="G146"/>
  <c r="F147"/>
  <c r="G147"/>
  <c r="F149"/>
  <c r="F148" s="1"/>
  <c r="F152"/>
  <c r="G152"/>
  <c r="F153"/>
  <c r="G153"/>
  <c r="G154"/>
  <c r="F155"/>
  <c r="G155" s="1"/>
  <c r="F156"/>
  <c r="G156" s="1"/>
  <c r="F157"/>
  <c r="G157" s="1"/>
  <c r="F159"/>
  <c r="F158" s="1"/>
  <c r="F164"/>
  <c r="G164" s="1"/>
  <c r="G163" s="1"/>
  <c r="A165"/>
  <c r="G165"/>
  <c r="F166"/>
  <c r="F165" s="1"/>
  <c r="A168"/>
  <c r="A169"/>
  <c r="F169"/>
  <c r="F168" s="1"/>
  <c r="A175"/>
  <c r="A176"/>
  <c r="A177"/>
  <c r="G180"/>
  <c r="F181"/>
  <c r="F180" s="1"/>
  <c r="F184"/>
  <c r="G184"/>
  <c r="F185"/>
  <c r="G185"/>
  <c r="G186"/>
  <c r="F187"/>
  <c r="F188"/>
  <c r="G188"/>
  <c r="F189"/>
  <c r="G189"/>
  <c r="F190"/>
  <c r="G190"/>
  <c r="F191"/>
  <c r="G191"/>
  <c r="F194"/>
  <c r="G195"/>
  <c r="F196"/>
  <c r="G196"/>
  <c r="A197"/>
  <c r="F201"/>
  <c r="G201" s="1"/>
  <c r="G202"/>
  <c r="F204"/>
  <c r="G204"/>
  <c r="F209"/>
  <c r="G209"/>
  <c r="F211"/>
  <c r="F210"/>
  <c r="G211"/>
  <c r="F213"/>
  <c r="G213"/>
  <c r="G210" s="1"/>
  <c r="A215"/>
  <c r="F215"/>
  <c r="G215"/>
  <c r="F219"/>
  <c r="F218" s="1"/>
  <c r="F217" s="1"/>
  <c r="G219"/>
  <c r="G218" s="1"/>
  <c r="G217" s="1"/>
  <c r="F222"/>
  <c r="F221" s="1"/>
  <c r="F220" s="1"/>
  <c r="G222"/>
  <c r="G221" s="1"/>
  <c r="G220" s="1"/>
  <c r="F223"/>
  <c r="F225"/>
  <c r="G225"/>
  <c r="F231"/>
  <c r="F230" s="1"/>
  <c r="G231"/>
  <c r="G230" s="1"/>
  <c r="F233"/>
  <c r="F232" s="1"/>
  <c r="G232" s="1"/>
  <c r="G233"/>
  <c r="A235"/>
  <c r="F237"/>
  <c r="F236" s="1"/>
  <c r="F235" s="1"/>
  <c r="G237"/>
  <c r="G236" s="1"/>
  <c r="F238"/>
  <c r="G238"/>
  <c r="G239"/>
  <c r="F241"/>
  <c r="F240" s="1"/>
  <c r="G240" s="1"/>
  <c r="G241"/>
  <c r="G242"/>
  <c r="A244"/>
  <c r="F244"/>
  <c r="G244"/>
  <c r="A247"/>
  <c r="A248"/>
  <c r="F249"/>
  <c r="G250"/>
  <c r="F251"/>
  <c r="G251"/>
  <c r="F252"/>
  <c r="G252"/>
  <c r="A253"/>
  <c r="A254"/>
  <c r="A255"/>
  <c r="F257"/>
  <c r="G257" s="1"/>
  <c r="G258"/>
  <c r="F259"/>
  <c r="G259"/>
  <c r="F260"/>
  <c r="G260"/>
  <c r="F264"/>
  <c r="F263"/>
  <c r="F262" s="1"/>
  <c r="F261" s="1"/>
  <c r="G264"/>
  <c r="G263"/>
  <c r="G262" s="1"/>
  <c r="G261" s="1"/>
  <c r="E24" i="24"/>
  <c r="E23"/>
  <c r="E30"/>
  <c r="E32"/>
  <c r="E31" s="1"/>
  <c r="E36"/>
  <c r="E35" s="1"/>
  <c r="E40"/>
  <c r="E42"/>
  <c r="E41"/>
  <c r="E56"/>
  <c r="E55"/>
  <c r="E54" s="1"/>
  <c r="E59"/>
  <c r="E60"/>
  <c r="E58" s="1"/>
  <c r="E57" s="1"/>
  <c r="E61"/>
  <c r="E83"/>
  <c r="E82" s="1"/>
  <c r="F83"/>
  <c r="F82" s="1"/>
  <c r="E86"/>
  <c r="E85" s="1"/>
  <c r="E94"/>
  <c r="E98"/>
  <c r="E97" s="1"/>
  <c r="E96" s="1"/>
  <c r="E99"/>
  <c r="E100"/>
  <c r="E105"/>
  <c r="E104" s="1"/>
  <c r="E107"/>
  <c r="E106" s="1"/>
  <c r="E114"/>
  <c r="E115"/>
  <c r="E116"/>
  <c r="E119"/>
  <c r="E118" s="1"/>
  <c r="E117" s="1"/>
  <c r="F119"/>
  <c r="F118" s="1"/>
  <c r="F117" s="1"/>
  <c r="E129"/>
  <c r="E131"/>
  <c r="E132"/>
  <c r="E130" s="1"/>
  <c r="E137"/>
  <c r="E141"/>
  <c r="E142"/>
  <c r="E145"/>
  <c r="E144" s="1"/>
  <c r="E143" s="1"/>
  <c r="E146"/>
  <c r="E157"/>
  <c r="E156" s="1"/>
  <c r="E159"/>
  <c r="E160"/>
  <c r="E158" s="1"/>
  <c r="E164"/>
  <c r="E166"/>
  <c r="E175"/>
  <c r="E176"/>
  <c r="E177"/>
  <c r="E184"/>
  <c r="E186"/>
  <c r="F196"/>
  <c r="F195" s="1"/>
  <c r="E201"/>
  <c r="E200" s="1"/>
  <c r="E199" s="1"/>
  <c r="F201"/>
  <c r="F200" s="1"/>
  <c r="F199" s="1"/>
  <c r="E204"/>
  <c r="E207"/>
  <c r="E206" s="1"/>
  <c r="F207"/>
  <c r="F206" s="1"/>
  <c r="E209"/>
  <c r="E208" s="1"/>
  <c r="E202" s="1"/>
  <c r="E210"/>
  <c r="E211"/>
  <c r="E217"/>
  <c r="E220"/>
  <c r="E221"/>
  <c r="E222"/>
  <c r="E227"/>
  <c r="E226"/>
  <c r="E229"/>
  <c r="E228"/>
  <c r="E231"/>
  <c r="E230"/>
  <c r="E233"/>
  <c r="E232"/>
  <c r="E235"/>
  <c r="E236"/>
  <c r="E239"/>
  <c r="E240"/>
  <c r="E238" s="1"/>
  <c r="E241"/>
  <c r="E243"/>
  <c r="E244"/>
  <c r="E245"/>
  <c r="E247"/>
  <c r="E248"/>
  <c r="E253"/>
  <c r="E256"/>
  <c r="E255" s="1"/>
  <c r="E258"/>
  <c r="E257" s="1"/>
  <c r="E260"/>
  <c r="E259" s="1"/>
  <c r="E262"/>
  <c r="E261" s="1"/>
  <c r="G23" i="25"/>
  <c r="G22" s="1"/>
  <c r="G21" s="1"/>
  <c r="G20" s="1"/>
  <c r="G27"/>
  <c r="G28"/>
  <c r="G26" s="1"/>
  <c r="G25" s="1"/>
  <c r="G29"/>
  <c r="G33"/>
  <c r="G32" s="1"/>
  <c r="G31" s="1"/>
  <c r="G36"/>
  <c r="G37"/>
  <c r="G35" s="1"/>
  <c r="G34" s="1"/>
  <c r="G30" s="1"/>
  <c r="E21" i="26" s="1"/>
  <c r="G38" i="25"/>
  <c r="G41"/>
  <c r="G42"/>
  <c r="G43"/>
  <c r="G45"/>
  <c r="G46"/>
  <c r="G47"/>
  <c r="G44"/>
  <c r="G50"/>
  <c r="G49"/>
  <c r="G48" s="1"/>
  <c r="E23" i="26" s="1"/>
  <c r="G57" i="25"/>
  <c r="G56"/>
  <c r="G55" s="1"/>
  <c r="G60"/>
  <c r="G59" s="1"/>
  <c r="G58" s="1"/>
  <c r="G62"/>
  <c r="G61" s="1"/>
  <c r="G64"/>
  <c r="G65"/>
  <c r="G66"/>
  <c r="G71"/>
  <c r="G70" s="1"/>
  <c r="G73"/>
  <c r="G72" s="1"/>
  <c r="H73"/>
  <c r="H72" s="1"/>
  <c r="G75"/>
  <c r="G76"/>
  <c r="G77"/>
  <c r="G79"/>
  <c r="G78" s="1"/>
  <c r="G81"/>
  <c r="G80" s="1"/>
  <c r="G85"/>
  <c r="G84" s="1"/>
  <c r="G86"/>
  <c r="G89"/>
  <c r="G88" s="1"/>
  <c r="G95"/>
  <c r="G94" s="1"/>
  <c r="G93" s="1"/>
  <c r="G96"/>
  <c r="G97"/>
  <c r="G102"/>
  <c r="G101" s="1"/>
  <c r="G100" s="1"/>
  <c r="E27" i="26" s="1"/>
  <c r="H102" i="25"/>
  <c r="H101" s="1"/>
  <c r="H100" s="1"/>
  <c r="F27" i="26" s="1"/>
  <c r="G106" i="25"/>
  <c r="G105" s="1"/>
  <c r="G104" s="1"/>
  <c r="E29" i="26" s="1"/>
  <c r="H106" i="25"/>
  <c r="H105" s="1"/>
  <c r="H104" s="1"/>
  <c r="F29" i="26" s="1"/>
  <c r="G110" i="25"/>
  <c r="G109" s="1"/>
  <c r="G108" s="1"/>
  <c r="H122"/>
  <c r="H121" s="1"/>
  <c r="G137"/>
  <c r="G136" s="1"/>
  <c r="G149"/>
  <c r="G148" s="1"/>
  <c r="G144" s="1"/>
  <c r="E34" i="26" s="1"/>
  <c r="G153" i="25"/>
  <c r="G152" s="1"/>
  <c r="G157"/>
  <c r="G156" s="1"/>
  <c r="G159"/>
  <c r="G165"/>
  <c r="G166"/>
  <c r="G167"/>
  <c r="G175"/>
  <c r="G174" s="1"/>
  <c r="G181"/>
  <c r="G191"/>
  <c r="G190" s="1"/>
  <c r="G195"/>
  <c r="G194" s="1"/>
  <c r="G199"/>
  <c r="G206"/>
  <c r="G205" s="1"/>
  <c r="G204" s="1"/>
  <c r="H206"/>
  <c r="H205" s="1"/>
  <c r="G224"/>
  <c r="G223" s="1"/>
  <c r="G222" s="1"/>
  <c r="E41" i="26" s="1"/>
  <c r="G227" i="25"/>
  <c r="G226" s="1"/>
  <c r="G229"/>
  <c r="G228" s="1"/>
  <c r="G233"/>
  <c r="E53" i="24" s="1"/>
  <c r="E52" s="1"/>
  <c r="G235" i="25"/>
  <c r="G234" s="1"/>
  <c r="G238"/>
  <c r="G237" s="1"/>
  <c r="G236" s="1"/>
  <c r="H238"/>
  <c r="H237" s="1"/>
  <c r="H236" s="1"/>
  <c r="G243"/>
  <c r="G244"/>
  <c r="G242" s="1"/>
  <c r="G239" s="1"/>
  <c r="E43" i="26" s="1"/>
  <c r="G245" i="25"/>
  <c r="G255"/>
  <c r="G257"/>
  <c r="G258"/>
  <c r="G262"/>
  <c r="G266"/>
  <c r="G265" s="1"/>
  <c r="G267"/>
  <c r="A270"/>
  <c r="G272"/>
  <c r="G273"/>
  <c r="G271" s="1"/>
  <c r="G270" s="1"/>
  <c r="G278"/>
  <c r="G277" s="1"/>
  <c r="G276" s="1"/>
  <c r="E48" i="26" s="1"/>
  <c r="G281" i="25"/>
  <c r="G280" s="1"/>
  <c r="G279" s="1"/>
  <c r="E49" i="26" s="1"/>
  <c r="H281" i="25"/>
  <c r="H280" s="1"/>
  <c r="H279" s="1"/>
  <c r="F49" i="26" s="1"/>
  <c r="G286" i="25"/>
  <c r="G285" s="1"/>
  <c r="G282" s="1"/>
  <c r="E50" i="26" s="1"/>
  <c r="G288" i="25"/>
  <c r="G287" s="1"/>
  <c r="G291"/>
  <c r="G294"/>
  <c r="G293" s="1"/>
  <c r="A295"/>
  <c r="G302"/>
  <c r="G301"/>
  <c r="G304"/>
  <c r="G303"/>
  <c r="G314"/>
  <c r="G315"/>
  <c r="G313" s="1"/>
  <c r="G312" s="1"/>
  <c r="E55" i="26" s="1"/>
  <c r="G316" i="25"/>
  <c r="G320"/>
  <c r="G322"/>
  <c r="H19" i="9"/>
  <c r="H18" s="1"/>
  <c r="H17" s="1"/>
  <c r="H16" s="1"/>
  <c r="H24"/>
  <c r="H35"/>
  <c r="H34"/>
  <c r="I36"/>
  <c r="H38"/>
  <c r="H37" s="1"/>
  <c r="H41"/>
  <c r="E172" i="24" s="1"/>
  <c r="E171" s="1"/>
  <c r="E170" s="1"/>
  <c r="H43" i="9"/>
  <c r="I44"/>
  <c r="I43" s="1"/>
  <c r="H45"/>
  <c r="H49"/>
  <c r="I50"/>
  <c r="H89" i="25" s="1"/>
  <c r="H88" s="1"/>
  <c r="H56" i="9"/>
  <c r="H55" s="1"/>
  <c r="H54" s="1"/>
  <c r="I57"/>
  <c r="I59"/>
  <c r="H97" i="25" s="1"/>
  <c r="H60" i="9"/>
  <c r="H64"/>
  <c r="H63"/>
  <c r="H62" s="1"/>
  <c r="I64"/>
  <c r="I63" s="1"/>
  <c r="I62" s="1"/>
  <c r="H68"/>
  <c r="H67"/>
  <c r="I68"/>
  <c r="I67"/>
  <c r="H151"/>
  <c r="I152"/>
  <c r="I151" s="1"/>
  <c r="I150" s="1"/>
  <c r="H167"/>
  <c r="H169"/>
  <c r="I170"/>
  <c r="H171"/>
  <c r="H179"/>
  <c r="H178" s="1"/>
  <c r="I93"/>
  <c r="H267" i="25" s="1"/>
  <c r="H96" i="9"/>
  <c r="H95" s="1"/>
  <c r="H99"/>
  <c r="H98" s="1"/>
  <c r="I99"/>
  <c r="I98" s="1"/>
  <c r="H104"/>
  <c r="I104"/>
  <c r="H106"/>
  <c r="I107"/>
  <c r="H291" i="25"/>
  <c r="H290" s="1"/>
  <c r="H121" i="9"/>
  <c r="H120"/>
  <c r="H119" s="1"/>
  <c r="H118" s="1"/>
  <c r="I190"/>
  <c r="H85" i="25"/>
  <c r="H196" i="9"/>
  <c r="H195"/>
  <c r="H194" s="1"/>
  <c r="H193" s="1"/>
  <c r="I197"/>
  <c r="F243" i="24"/>
  <c r="F242" s="1"/>
  <c r="I198" i="9"/>
  <c r="I199"/>
  <c r="H29" i="25" s="1"/>
  <c r="H203" i="9"/>
  <c r="H230"/>
  <c r="H239"/>
  <c r="I251"/>
  <c r="H320" i="25"/>
  <c r="I253" i="9"/>
  <c r="H322" i="25"/>
  <c r="H257" i="9"/>
  <c r="H259"/>
  <c r="I259"/>
  <c r="H261"/>
  <c r="H256" s="1"/>
  <c r="H255" s="1"/>
  <c r="H274"/>
  <c r="H273"/>
  <c r="I275"/>
  <c r="I274"/>
  <c r="I273" s="1"/>
  <c r="H286"/>
  <c r="H302"/>
  <c r="I303"/>
  <c r="I302" s="1"/>
  <c r="H306"/>
  <c r="H301" s="1"/>
  <c r="H319"/>
  <c r="I319"/>
  <c r="H324"/>
  <c r="I325"/>
  <c r="I324"/>
  <c r="H331"/>
  <c r="H330"/>
  <c r="I332"/>
  <c r="H334"/>
  <c r="H333" s="1"/>
  <c r="I335"/>
  <c r="I334" s="1"/>
  <c r="I333" s="1"/>
  <c r="H339"/>
  <c r="I340"/>
  <c r="F59" i="24" s="1"/>
  <c r="H346" i="9"/>
  <c r="I347"/>
  <c r="I346"/>
  <c r="H348"/>
  <c r="I349"/>
  <c r="I348" s="1"/>
  <c r="H351"/>
  <c r="E67" i="24" s="1"/>
  <c r="E66" s="1"/>
  <c r="H352" i="9"/>
  <c r="I353"/>
  <c r="F56" i="24" s="1"/>
  <c r="F55" s="1"/>
  <c r="F54" s="1"/>
  <c r="H355" i="9"/>
  <c r="H354"/>
  <c r="I355"/>
  <c r="I354"/>
  <c r="H363"/>
  <c r="H358" s="1"/>
  <c r="I364"/>
  <c r="H373"/>
  <c r="H372"/>
  <c r="H380"/>
  <c r="H379"/>
  <c r="H385"/>
  <c r="H384"/>
  <c r="I386"/>
  <c r="F151" i="13"/>
  <c r="F150"/>
  <c r="G150" s="1"/>
  <c r="G84"/>
  <c r="G83" s="1"/>
  <c r="G82" s="1"/>
  <c r="F83"/>
  <c r="F82"/>
  <c r="F74"/>
  <c r="F40" i="15"/>
  <c r="I325" i="19"/>
  <c r="J325"/>
  <c r="H324"/>
  <c r="G249" i="13"/>
  <c r="F248"/>
  <c r="G248"/>
  <c r="F247"/>
  <c r="G40" i="15"/>
  <c r="G15" s="1"/>
  <c r="G41"/>
  <c r="H208" i="14"/>
  <c r="G207"/>
  <c r="F255" i="13"/>
  <c r="G255" s="1"/>
  <c r="G194"/>
  <c r="F193"/>
  <c r="F142"/>
  <c r="F141" s="1"/>
  <c r="F140" s="1"/>
  <c r="G121"/>
  <c r="F118"/>
  <c r="F59"/>
  <c r="F58"/>
  <c r="H95" i="14"/>
  <c r="G94"/>
  <c r="I265" i="19"/>
  <c r="F208" i="13"/>
  <c r="F163"/>
  <c r="I354" i="19"/>
  <c r="J354"/>
  <c r="H350"/>
  <c r="I350"/>
  <c r="J350" s="1"/>
  <c r="G323"/>
  <c r="H250"/>
  <c r="G169" i="13"/>
  <c r="G168" s="1"/>
  <c r="G87" i="14"/>
  <c r="H295" i="19"/>
  <c r="I295"/>
  <c r="J295" s="1"/>
  <c r="H265"/>
  <c r="H263"/>
  <c r="H241"/>
  <c r="H96"/>
  <c r="I96" s="1"/>
  <c r="J96" s="1"/>
  <c r="I97"/>
  <c r="J97"/>
  <c r="H97" i="14"/>
  <c r="G96"/>
  <c r="H96" s="1"/>
  <c r="G84"/>
  <c r="G265" i="19"/>
  <c r="G264"/>
  <c r="G263" s="1"/>
  <c r="G247"/>
  <c r="I234"/>
  <c r="J234"/>
  <c r="H233"/>
  <c r="H232"/>
  <c r="G201"/>
  <c r="G188"/>
  <c r="J70"/>
  <c r="I296"/>
  <c r="J296" s="1"/>
  <c r="H191"/>
  <c r="I191" s="1"/>
  <c r="J191" s="1"/>
  <c r="I192"/>
  <c r="J192"/>
  <c r="G84"/>
  <c r="G83"/>
  <c r="I179"/>
  <c r="J179" s="1"/>
  <c r="H177"/>
  <c r="G172"/>
  <c r="H37"/>
  <c r="I37" s="1"/>
  <c r="J37" s="1"/>
  <c r="H36"/>
  <c r="I36"/>
  <c r="J36" s="1"/>
  <c r="I115"/>
  <c r="J115" s="1"/>
  <c r="G111"/>
  <c r="I98"/>
  <c r="J98"/>
  <c r="H84"/>
  <c r="G68"/>
  <c r="G67" s="1"/>
  <c r="H160"/>
  <c r="I160"/>
  <c r="J160" s="1"/>
  <c r="H55"/>
  <c r="H48" s="1"/>
  <c r="I18"/>
  <c r="J18" s="1"/>
  <c r="H190"/>
  <c r="I190" s="1"/>
  <c r="J190" s="1"/>
  <c r="G193" i="13"/>
  <c r="F192"/>
  <c r="G192"/>
  <c r="I233" i="19"/>
  <c r="J233"/>
  <c r="I241"/>
  <c r="J241"/>
  <c r="H240"/>
  <c r="G59" i="13"/>
  <c r="I324" i="19"/>
  <c r="J324" s="1"/>
  <c r="H323"/>
  <c r="G74" i="13"/>
  <c r="F73"/>
  <c r="F72"/>
  <c r="G72" s="1"/>
  <c r="H349" i="19"/>
  <c r="H348"/>
  <c r="H347" s="1"/>
  <c r="F207" i="13"/>
  <c r="F206" s="1"/>
  <c r="G206" s="1"/>
  <c r="G208"/>
  <c r="F243"/>
  <c r="G243" s="1"/>
  <c r="G247"/>
  <c r="H159" i="19"/>
  <c r="I159" s="1"/>
  <c r="J159" s="1"/>
  <c r="I250"/>
  <c r="J250"/>
  <c r="H249"/>
  <c r="F117" i="13"/>
  <c r="G117" s="1"/>
  <c r="G118"/>
  <c r="H207" i="14"/>
  <c r="H206"/>
  <c r="G206"/>
  <c r="G205"/>
  <c r="H205" s="1"/>
  <c r="G204"/>
  <c r="G73" i="13"/>
  <c r="I232" i="19"/>
  <c r="J232" s="1"/>
  <c r="I249"/>
  <c r="J249" s="1"/>
  <c r="H248"/>
  <c r="I248" s="1"/>
  <c r="J248" s="1"/>
  <c r="I240"/>
  <c r="J240"/>
  <c r="H239"/>
  <c r="I239"/>
  <c r="J239" s="1"/>
  <c r="I349"/>
  <c r="J349" s="1"/>
  <c r="H189"/>
  <c r="H188" s="1"/>
  <c r="I348"/>
  <c r="J348" s="1"/>
  <c r="I189"/>
  <c r="J189" s="1"/>
  <c r="H204" i="14"/>
  <c r="E39" i="24"/>
  <c r="E37" s="1"/>
  <c r="I72" i="9"/>
  <c r="I71"/>
  <c r="I70" s="1"/>
  <c r="H127" i="25"/>
  <c r="H126" s="1"/>
  <c r="G198"/>
  <c r="H145" i="9"/>
  <c r="E196" i="24"/>
  <c r="E195" s="1"/>
  <c r="G139" i="25"/>
  <c r="G138" s="1"/>
  <c r="G188"/>
  <c r="G187" s="1"/>
  <c r="E88" i="24"/>
  <c r="E87" s="1"/>
  <c r="H26" i="9"/>
  <c r="H23"/>
  <c r="H153"/>
  <c r="F127" i="24"/>
  <c r="H253" i="25"/>
  <c r="H279" i="9"/>
  <c r="H278" s="1"/>
  <c r="G201" i="25"/>
  <c r="G200" s="1"/>
  <c r="H312" i="9"/>
  <c r="H183" i="25"/>
  <c r="H182" s="1"/>
  <c r="I294" i="9"/>
  <c r="H83" i="19"/>
  <c r="I84"/>
  <c r="J84" s="1"/>
  <c r="J83" s="1"/>
  <c r="F57" i="13"/>
  <c r="G58"/>
  <c r="G187"/>
  <c r="F183"/>
  <c r="F71"/>
  <c r="H176" i="19"/>
  <c r="I177"/>
  <c r="J177" s="1"/>
  <c r="H264"/>
  <c r="F116" i="13"/>
  <c r="F254"/>
  <c r="H94" i="14"/>
  <c r="F65" i="13"/>
  <c r="F56" s="1"/>
  <c r="I216" i="19"/>
  <c r="J216"/>
  <c r="H212"/>
  <c r="I212"/>
  <c r="J212" s="1"/>
  <c r="J202" s="1"/>
  <c r="J201" s="1"/>
  <c r="F103" i="13"/>
  <c r="G103"/>
  <c r="F101"/>
  <c r="F100"/>
  <c r="F99" s="1"/>
  <c r="F98" s="1"/>
  <c r="J203" i="19"/>
  <c r="H115"/>
  <c r="H111" s="1"/>
  <c r="G113" i="13"/>
  <c r="G112"/>
  <c r="G111" s="1"/>
  <c r="H358" i="19"/>
  <c r="H202"/>
  <c r="H201"/>
  <c r="H158"/>
  <c r="H157" s="1"/>
  <c r="H40"/>
  <c r="I40"/>
  <c r="J40" s="1"/>
  <c r="I17"/>
  <c r="J17" s="1"/>
  <c r="I252"/>
  <c r="J252" s="1"/>
  <c r="I57"/>
  <c r="I56" s="1"/>
  <c r="H112"/>
  <c r="I113"/>
  <c r="J113" s="1"/>
  <c r="F70" i="13"/>
  <c r="G70" s="1"/>
  <c r="G71"/>
  <c r="J57" i="19"/>
  <c r="I158"/>
  <c r="J158" s="1"/>
  <c r="I83"/>
  <c r="H67"/>
  <c r="I202"/>
  <c r="I201" s="1"/>
  <c r="F115" i="13"/>
  <c r="G115" s="1"/>
  <c r="G116"/>
  <c r="I112" i="19"/>
  <c r="J112" s="1"/>
  <c r="J111" s="1"/>
  <c r="G254" i="13"/>
  <c r="F253"/>
  <c r="H175" i="19"/>
  <c r="I176"/>
  <c r="J176" s="1"/>
  <c r="F182" i="13"/>
  <c r="G183"/>
  <c r="G57"/>
  <c r="G56" s="1"/>
  <c r="H174" i="19"/>
  <c r="I175"/>
  <c r="J175" s="1"/>
  <c r="I111"/>
  <c r="G182" i="13"/>
  <c r="G179" s="1"/>
  <c r="G253"/>
  <c r="I174" i="19"/>
  <c r="J174"/>
  <c r="H173"/>
  <c r="H172"/>
  <c r="I172" s="1"/>
  <c r="J172" s="1"/>
  <c r="I173"/>
  <c r="J173"/>
  <c r="G169" i="25"/>
  <c r="G168" s="1"/>
  <c r="G127"/>
  <c r="G126" s="1"/>
  <c r="G125" s="1"/>
  <c r="E31" i="26" s="1"/>
  <c r="G197" i="25"/>
  <c r="H308" i="9"/>
  <c r="H294" i="25"/>
  <c r="H293" s="1"/>
  <c r="H149"/>
  <c r="H148" s="1"/>
  <c r="H144" s="1"/>
  <c r="F34" i="26" s="1"/>
  <c r="F94" i="24"/>
  <c r="H60" i="25"/>
  <c r="H59" s="1"/>
  <c r="H58" s="1"/>
  <c r="F72" i="24"/>
  <c r="F71" s="1"/>
  <c r="F256"/>
  <c r="F255" s="1"/>
  <c r="I38" i="9"/>
  <c r="I37" s="1"/>
  <c r="H286" i="25"/>
  <c r="H285" s="1"/>
  <c r="F253" i="24"/>
  <c r="I133" i="9"/>
  <c r="I132" s="1"/>
  <c r="H110" i="25"/>
  <c r="H109" s="1"/>
  <c r="H108" s="1"/>
  <c r="F258" i="24"/>
  <c r="F257" s="1"/>
  <c r="F248"/>
  <c r="H86" i="25"/>
  <c r="F80" i="24"/>
  <c r="F79"/>
  <c r="H23" i="25"/>
  <c r="F20" i="24" s="1"/>
  <c r="F18" i="26" s="1"/>
  <c r="I19" i="9"/>
  <c r="I18" s="1"/>
  <c r="I17" s="1"/>
  <c r="I16" s="1"/>
  <c r="F110" i="24"/>
  <c r="F109" s="1"/>
  <c r="H162" i="25"/>
  <c r="H161" s="1"/>
  <c r="I176" i="9"/>
  <c r="G214" i="25"/>
  <c r="E50" i="24" s="1"/>
  <c r="E127"/>
  <c r="E198"/>
  <c r="E197" s="1"/>
  <c r="E185"/>
  <c r="E251"/>
  <c r="E250" s="1"/>
  <c r="E110"/>
  <c r="E109" s="1"/>
  <c r="E126"/>
  <c r="H19" i="33"/>
  <c r="H20" s="1"/>
  <c r="F29" i="24"/>
  <c r="H147" i="9"/>
  <c r="G168" i="14"/>
  <c r="H168" s="1"/>
  <c r="H43" i="25"/>
  <c r="G189" i="14"/>
  <c r="H189" s="1"/>
  <c r="I102" i="9"/>
  <c r="F210" i="24"/>
  <c r="G308" i="9"/>
  <c r="H45" i="25"/>
  <c r="H250" i="9"/>
  <c r="H249" s="1"/>
  <c r="H248" s="1"/>
  <c r="F192" i="24"/>
  <c r="F251"/>
  <c r="F250" s="1"/>
  <c r="D38" i="30"/>
  <c r="D18" i="28"/>
  <c r="H176" i="9"/>
  <c r="H350"/>
  <c r="G261" i="25"/>
  <c r="G162"/>
  <c r="G161" s="1"/>
  <c r="G231"/>
  <c r="G230" s="1"/>
  <c r="E136" i="24"/>
  <c r="G124" i="25"/>
  <c r="G123" s="1"/>
  <c r="I351" i="9"/>
  <c r="I350" s="1"/>
  <c r="F160" i="24"/>
  <c r="H203" i="25"/>
  <c r="H202" s="1"/>
  <c r="H244"/>
  <c r="H242" s="1"/>
  <c r="H239" s="1"/>
  <c r="F43" i="26" s="1"/>
  <c r="H211" i="25"/>
  <c r="H210" s="1"/>
  <c r="F47" i="24"/>
  <c r="F46" s="1"/>
  <c r="H255" i="25"/>
  <c r="G290"/>
  <c r="H260"/>
  <c r="I225" i="9"/>
  <c r="H79" i="25"/>
  <c r="H78" s="1"/>
  <c r="H273"/>
  <c r="I296" i="9"/>
  <c r="H33" i="25"/>
  <c r="H32" s="1"/>
  <c r="H31" s="1"/>
  <c r="H30" s="1"/>
  <c r="F21" i="26" s="1"/>
  <c r="H87" i="9"/>
  <c r="H86" s="1"/>
  <c r="H81" s="1"/>
  <c r="H80" s="1"/>
  <c r="F136" i="24"/>
  <c r="F235"/>
  <c r="H113" i="25"/>
  <c r="H112" s="1"/>
  <c r="H111" s="1"/>
  <c r="F135" i="24"/>
  <c r="I49" i="9"/>
  <c r="H27" i="25"/>
  <c r="F186" i="24"/>
  <c r="H213" i="25"/>
  <c r="F49" i="24" s="1"/>
  <c r="I312" i="9"/>
  <c r="H102"/>
  <c r="H101" s="1"/>
  <c r="I88"/>
  <c r="F128" i="24"/>
  <c r="G266" i="14"/>
  <c r="H266" s="1"/>
  <c r="F44" i="24"/>
  <c r="F43" s="1"/>
  <c r="F98"/>
  <c r="G159" i="9"/>
  <c r="F229" i="24"/>
  <c r="F228" s="1"/>
  <c r="F197" i="25"/>
  <c r="H48" i="14"/>
  <c r="H47" s="1"/>
  <c r="H46" s="1"/>
  <c r="H315" i="25"/>
  <c r="G316" i="9"/>
  <c r="G301"/>
  <c r="F241" i="24"/>
  <c r="F126"/>
  <c r="F139"/>
  <c r="F138" s="1"/>
  <c r="F92"/>
  <c r="F91" s="1"/>
  <c r="F105"/>
  <c r="F104" s="1"/>
  <c r="H235" i="25"/>
  <c r="H234" s="1"/>
  <c r="H264"/>
  <c r="H263" s="1"/>
  <c r="G336" i="9"/>
  <c r="I171"/>
  <c r="H258" i="25"/>
  <c r="H96"/>
  <c r="H38"/>
  <c r="F65" i="24"/>
  <c r="F64" s="1"/>
  <c r="G59" i="14"/>
  <c r="F33" i="13"/>
  <c r="G33" s="1"/>
  <c r="H316" i="9"/>
  <c r="G45" i="14"/>
  <c r="G44" s="1"/>
  <c r="G43" s="1"/>
  <c r="H43" s="1"/>
  <c r="I121" i="9"/>
  <c r="I120"/>
  <c r="I119" s="1"/>
  <c r="I118" s="1"/>
  <c r="F247" i="24"/>
  <c r="H298" i="25"/>
  <c r="I306" i="9"/>
  <c r="E190" i="24"/>
  <c r="F262"/>
  <c r="F261" s="1"/>
  <c r="H41" i="25"/>
  <c r="I261" i="9"/>
  <c r="I75"/>
  <c r="I74" s="1"/>
  <c r="G23"/>
  <c r="G87"/>
  <c r="G86"/>
  <c r="G108"/>
  <c r="H139"/>
  <c r="F184" i="24"/>
  <c r="I189" i="9"/>
  <c r="I188" s="1"/>
  <c r="I187" s="1"/>
  <c r="I186" s="1"/>
  <c r="I24"/>
  <c r="F88" i="24"/>
  <c r="F87" s="1"/>
  <c r="H299" i="25"/>
  <c r="H297" s="1"/>
  <c r="I352" i="9"/>
  <c r="I359"/>
  <c r="G345"/>
  <c r="G344"/>
  <c r="H233" i="25"/>
  <c r="H232" s="1"/>
  <c r="H253" i="14"/>
  <c r="H139" i="25"/>
  <c r="H138" s="1"/>
  <c r="F61" i="24"/>
  <c r="H37" i="25"/>
  <c r="H35" s="1"/>
  <c r="H34" s="1"/>
  <c r="G202" i="9"/>
  <c r="G201" s="1"/>
  <c r="G200"/>
  <c r="E122" i="24"/>
  <c r="E121" s="1"/>
  <c r="E120" s="1"/>
  <c r="G63" i="25"/>
  <c r="E59" i="26"/>
  <c r="E58" s="1"/>
  <c r="G115" i="25"/>
  <c r="I321" i="9"/>
  <c r="I26"/>
  <c r="H177" i="25"/>
  <c r="H176" s="1"/>
  <c r="F86" i="24"/>
  <c r="F85" s="1"/>
  <c r="H316" i="25"/>
  <c r="H378" i="9"/>
  <c r="H377" s="1"/>
  <c r="I91"/>
  <c r="I290"/>
  <c r="H166" i="25"/>
  <c r="H294" i="14"/>
  <c r="H293" s="1"/>
  <c r="F240" i="24"/>
  <c r="F155"/>
  <c r="I316" i="9"/>
  <c r="G321"/>
  <c r="I380"/>
  <c r="I379" s="1"/>
  <c r="H81" i="25"/>
  <c r="H80" s="1"/>
  <c r="I288" i="9"/>
  <c r="I45"/>
  <c r="I41"/>
  <c r="H167" i="25"/>
  <c r="H164" s="1"/>
  <c r="H163" s="1"/>
  <c r="F36" i="26" s="1"/>
  <c r="F30" i="24"/>
  <c r="I167" i="9"/>
  <c r="H261" i="25"/>
  <c r="G296" i="9"/>
  <c r="G285" s="1"/>
  <c r="G284"/>
  <c r="G283" s="1"/>
  <c r="I272"/>
  <c r="I106"/>
  <c r="I101"/>
  <c r="H19" i="14"/>
  <c r="F29" i="13"/>
  <c r="G29" s="1"/>
  <c r="I96" i="9"/>
  <c r="I95" s="1"/>
  <c r="H278" i="25"/>
  <c r="H277" s="1"/>
  <c r="H276" s="1"/>
  <c r="F48" i="26" s="1"/>
  <c r="H272" i="25"/>
  <c r="I244" i="9"/>
  <c r="I243"/>
  <c r="F157" i="24"/>
  <c r="F156" s="1"/>
  <c r="H227" i="25"/>
  <c r="H226" s="1"/>
  <c r="F63" i="24"/>
  <c r="F62" s="1"/>
  <c r="I203" i="9"/>
  <c r="I202" s="1"/>
  <c r="I201" s="1"/>
  <c r="I200" s="1"/>
  <c r="H77" i="25"/>
  <c r="F211" i="24"/>
  <c r="I169" i="9"/>
  <c r="H155" i="25"/>
  <c r="H154"/>
  <c r="F103" i="24"/>
  <c r="F102"/>
  <c r="F203" i="13"/>
  <c r="G203"/>
  <c r="H182" i="14"/>
  <c r="H71" i="25"/>
  <c r="H70" s="1"/>
  <c r="I257" i="9"/>
  <c r="F204" i="24"/>
  <c r="I140" i="9"/>
  <c r="H345"/>
  <c r="H344" s="1"/>
  <c r="H243" i="25"/>
  <c r="I339" i="9"/>
  <c r="I336" s="1"/>
  <c r="H28" i="25"/>
  <c r="F244" i="24"/>
  <c r="I196" i="9"/>
  <c r="I195" s="1"/>
  <c r="I194" s="1"/>
  <c r="I193" s="1"/>
  <c r="G232" i="25"/>
  <c r="F116" i="24"/>
  <c r="F221"/>
  <c r="F114"/>
  <c r="H95" i="25"/>
  <c r="H94" s="1"/>
  <c r="H93" s="1"/>
  <c r="F26" i="26" s="1"/>
  <c r="F25" s="1"/>
  <c r="I56" i="9"/>
  <c r="I55"/>
  <c r="H202"/>
  <c r="H201"/>
  <c r="H200" s="1"/>
  <c r="G278"/>
  <c r="G272" s="1"/>
  <c r="H166"/>
  <c r="H336"/>
  <c r="H321"/>
  <c r="G138"/>
  <c r="G131"/>
  <c r="G130" s="1"/>
  <c r="G358"/>
  <c r="G357" s="1"/>
  <c r="G343" s="1"/>
  <c r="G256"/>
  <c r="G255"/>
  <c r="H224" i="25"/>
  <c r="H223" s="1"/>
  <c r="H222" s="1"/>
  <c r="F41" i="26" s="1"/>
  <c r="I331" i="9"/>
  <c r="I330" s="1"/>
  <c r="E54" i="26"/>
  <c r="H199" i="25"/>
  <c r="F40" i="24"/>
  <c r="F209"/>
  <c r="H75" i="25"/>
  <c r="H74" s="1"/>
  <c r="H257"/>
  <c r="I230" i="9"/>
  <c r="I222" s="1"/>
  <c r="I221" s="1"/>
  <c r="H40"/>
  <c r="F30" i="13"/>
  <c r="G30" s="1"/>
  <c r="H195" i="25"/>
  <c r="H194" s="1"/>
  <c r="F145" i="24"/>
  <c r="I173" i="9"/>
  <c r="I166"/>
  <c r="H252" i="25"/>
  <c r="H251"/>
  <c r="I373" i="9"/>
  <c r="I372"/>
  <c r="F142" i="24"/>
  <c r="I233" i="9"/>
  <c r="F131" i="24"/>
  <c r="F164"/>
  <c r="F163" s="1"/>
  <c r="F162" s="1"/>
  <c r="H229" i="25"/>
  <c r="H228"/>
  <c r="F42" i="24"/>
  <c r="F41"/>
  <c r="F32"/>
  <c r="F31"/>
  <c r="H191" i="25"/>
  <c r="H190"/>
  <c r="F108" i="24"/>
  <c r="H160" i="25"/>
  <c r="G252"/>
  <c r="H225" i="9"/>
  <c r="H124" i="25"/>
  <c r="H123"/>
  <c r="F198" i="24"/>
  <c r="F197"/>
  <c r="F245"/>
  <c r="F177"/>
  <c r="H137" i="25"/>
  <c r="H136"/>
  <c r="H131" s="1"/>
  <c r="F33" i="26" s="1"/>
  <c r="H58" i="14"/>
  <c r="H57" s="1"/>
  <c r="H56" s="1"/>
  <c r="H55" s="1"/>
  <c r="G57"/>
  <c r="G56" s="1"/>
  <c r="H22"/>
  <c r="F42" i="13"/>
  <c r="G42" s="1"/>
  <c r="F67" i="24"/>
  <c r="F66" s="1"/>
  <c r="I345" i="9"/>
  <c r="I344" s="1"/>
  <c r="H231" i="25"/>
  <c r="H230" s="1"/>
  <c r="I256" i="9"/>
  <c r="I255"/>
  <c r="I87"/>
  <c r="I86" s="1"/>
  <c r="I81" s="1"/>
  <c r="I80" s="1"/>
  <c r="I301"/>
  <c r="I23"/>
  <c r="F190" i="24"/>
  <c r="H116" i="25"/>
  <c r="H115" s="1"/>
  <c r="I139" i="9"/>
  <c r="F252" i="24"/>
  <c r="F203"/>
  <c r="F202" s="1"/>
  <c r="E234"/>
  <c r="E246"/>
  <c r="D113"/>
  <c r="D112" s="1"/>
  <c r="D203"/>
  <c r="D202" s="1"/>
  <c r="F144"/>
  <c r="F143" s="1"/>
  <c r="E203"/>
  <c r="F246"/>
  <c r="E214"/>
  <c r="E213" s="1"/>
  <c r="H271" i="25"/>
  <c r="H270" s="1"/>
  <c r="F46" i="26" s="1"/>
  <c r="F307" i="25"/>
  <c r="F44"/>
  <c r="F290"/>
  <c r="F26"/>
  <c r="F25" s="1"/>
  <c r="D20" i="26" s="1"/>
  <c r="I94" i="9"/>
  <c r="H321" i="25"/>
  <c r="H319"/>
  <c r="H318" s="1"/>
  <c r="H317" s="1"/>
  <c r="F185" i="24"/>
  <c r="F183"/>
  <c r="F182" s="1"/>
  <c r="I250" i="9"/>
  <c r="I249"/>
  <c r="I248" s="1"/>
  <c r="E128" i="24"/>
  <c r="G254" i="25"/>
  <c r="G251" s="1"/>
  <c r="H138" i="9"/>
  <c r="F100" i="24"/>
  <c r="F97" s="1"/>
  <c r="F96" s="1"/>
  <c r="I179" i="9"/>
  <c r="I178" s="1"/>
  <c r="I149" s="1"/>
  <c r="H65" i="25"/>
  <c r="F176" i="24"/>
  <c r="H175" i="25"/>
  <c r="H174" s="1"/>
  <c r="F24" i="24"/>
  <c r="F23" s="1"/>
  <c r="I286" i="9"/>
  <c r="I285"/>
  <c r="I284" s="1"/>
  <c r="I283" s="1"/>
  <c r="F152" i="24"/>
  <c r="I215" i="9"/>
  <c r="H213"/>
  <c r="H212"/>
  <c r="H211" s="1"/>
  <c r="G155" i="14"/>
  <c r="H155" s="1"/>
  <c r="H237" i="9"/>
  <c r="H222"/>
  <c r="H221" s="1"/>
  <c r="E139" i="24"/>
  <c r="E138" s="1"/>
  <c r="G19" i="33"/>
  <c r="G20" s="1"/>
  <c r="I365" i="9"/>
  <c r="H120" i="25"/>
  <c r="H119"/>
  <c r="F130" i="24"/>
  <c r="F219"/>
  <c r="F218" s="1"/>
  <c r="G264" i="25"/>
  <c r="G263" s="1"/>
  <c r="H84"/>
  <c r="F260" i="24"/>
  <c r="F259" s="1"/>
  <c r="H288" i="25"/>
  <c r="H287" s="1"/>
  <c r="H282" s="1"/>
  <c r="F50" i="26" s="1"/>
  <c r="G61" i="14"/>
  <c r="H61" s="1"/>
  <c r="H62"/>
  <c r="I116" i="9"/>
  <c r="I115"/>
  <c r="I114" s="1"/>
  <c r="H326" i="25"/>
  <c r="F224" i="24"/>
  <c r="F223" s="1"/>
  <c r="G180" i="25"/>
  <c r="E29" i="24"/>
  <c r="H290" i="9"/>
  <c r="H285"/>
  <c r="H284" s="1"/>
  <c r="H283" s="1"/>
  <c r="F266" i="25"/>
  <c r="F265" s="1"/>
  <c r="G239" i="9"/>
  <c r="G222" s="1"/>
  <c r="G221" s="1"/>
  <c r="G210" s="1"/>
  <c r="D141" i="24"/>
  <c r="D140" s="1"/>
  <c r="H272" i="9"/>
  <c r="F159" i="24"/>
  <c r="F158" s="1"/>
  <c r="I143" i="9"/>
  <c r="I138" s="1"/>
  <c r="I131" s="1"/>
  <c r="I130" s="1"/>
  <c r="I125" s="1"/>
  <c r="H50" i="25"/>
  <c r="H49" s="1"/>
  <c r="H48" s="1"/>
  <c r="F23" i="26" s="1"/>
  <c r="F217" i="24"/>
  <c r="F214" s="1"/>
  <c r="F213" s="1"/>
  <c r="I385" i="9"/>
  <c r="I384" s="1"/>
  <c r="I378" s="1"/>
  <c r="I377" s="1"/>
  <c r="H302" i="25"/>
  <c r="H301" s="1"/>
  <c r="I363" i="9"/>
  <c r="I358" s="1"/>
  <c r="I357" s="1"/>
  <c r="H94"/>
  <c r="I35"/>
  <c r="I34"/>
  <c r="H57" i="25"/>
  <c r="H56" s="1"/>
  <c r="H55" s="1"/>
  <c r="H252" i="14"/>
  <c r="H265" i="9"/>
  <c r="H254"/>
  <c r="H99" i="25"/>
  <c r="I60" i="9"/>
  <c r="I54"/>
  <c r="I53" s="1"/>
  <c r="F141" i="24"/>
  <c r="F140" s="1"/>
  <c r="H266" i="25"/>
  <c r="H265" s="1"/>
  <c r="F107" i="24"/>
  <c r="F106" s="1"/>
  <c r="H159" i="25"/>
  <c r="H158" s="1"/>
  <c r="F175" i="24"/>
  <c r="H64" i="25"/>
  <c r="H63" s="1"/>
  <c r="F137" i="24"/>
  <c r="H262" i="25"/>
  <c r="H259" s="1"/>
  <c r="G73" i="14"/>
  <c r="G66" s="1"/>
  <c r="G65" s="1"/>
  <c r="G135" i="25"/>
  <c r="G134"/>
  <c r="E78" i="24"/>
  <c r="E77"/>
  <c r="H78" i="9"/>
  <c r="H75"/>
  <c r="H74" s="1"/>
  <c r="F98" i="25"/>
  <c r="D122" i="24"/>
  <c r="D121" s="1"/>
  <c r="D120" s="1"/>
  <c r="G319" i="25"/>
  <c r="G318" s="1"/>
  <c r="G317" s="1"/>
  <c r="G94" i="9"/>
  <c r="D58" i="24"/>
  <c r="D57" s="1"/>
  <c r="H53" i="9"/>
  <c r="G256" i="25"/>
  <c r="E252" i="24"/>
  <c r="G40" i="25"/>
  <c r="G39" s="1"/>
  <c r="E22" i="26" s="1"/>
  <c r="G53" i="9"/>
  <c r="F74" i="25"/>
  <c r="F313"/>
  <c r="F312" s="1"/>
  <c r="D55" i="26" s="1"/>
  <c r="F37" i="24"/>
  <c r="D53"/>
  <c r="D52"/>
  <c r="F44" i="13"/>
  <c r="G44"/>
  <c r="H268" i="14"/>
  <c r="G228" i="13"/>
  <c r="G227" s="1"/>
  <c r="G216" s="1"/>
  <c r="E113" i="24"/>
  <c r="E112" s="1"/>
  <c r="F40" i="25"/>
  <c r="F39" s="1"/>
  <c r="D22" i="26" s="1"/>
  <c r="F144" i="25"/>
  <c r="D34" i="26" s="1"/>
  <c r="F204" i="25"/>
  <c r="F297"/>
  <c r="F296" s="1"/>
  <c r="D208" i="24"/>
  <c r="D242"/>
  <c r="G267" i="14"/>
  <c r="H267"/>
  <c r="G164" i="25"/>
  <c r="D37" i="24"/>
  <c r="E93"/>
  <c r="D20"/>
  <c r="D18" i="26" s="1"/>
  <c r="G74" i="25"/>
  <c r="E242" i="24"/>
  <c r="G275" i="14"/>
  <c r="G274" s="1"/>
  <c r="F63" i="25"/>
  <c r="F115"/>
  <c r="F114" s="1"/>
  <c r="F107" s="1"/>
  <c r="F271"/>
  <c r="F270" s="1"/>
  <c r="D130" i="24"/>
  <c r="D174"/>
  <c r="D173" s="1"/>
  <c r="G35" i="13"/>
  <c r="G259" i="25"/>
  <c r="H125"/>
  <c r="F31" i="26" s="1"/>
  <c r="F53" i="24"/>
  <c r="F52" s="1"/>
  <c r="G212" i="25"/>
  <c r="G209" s="1"/>
  <c r="H30" i="9"/>
  <c r="H22" s="1"/>
  <c r="H21" s="1"/>
  <c r="H256" i="25"/>
  <c r="F40" i="13"/>
  <c r="H115" i="14"/>
  <c r="F125" i="24"/>
  <c r="H247" i="14"/>
  <c r="H246"/>
  <c r="G246"/>
  <c r="D59" i="26"/>
  <c r="D58" s="1"/>
  <c r="F325" i="25"/>
  <c r="F324" s="1"/>
  <c r="F323" s="1"/>
  <c r="G24" i="14"/>
  <c r="G180"/>
  <c r="G178" s="1"/>
  <c r="G177" s="1"/>
  <c r="H177" s="1"/>
  <c r="H292"/>
  <c r="H289" i="25"/>
  <c r="F51" i="26" s="1"/>
  <c r="F47" s="1"/>
  <c r="F234" i="24"/>
  <c r="H40" i="25"/>
  <c r="F27" i="24"/>
  <c r="F58"/>
  <c r="F57" s="1"/>
  <c r="E101"/>
  <c r="H131" i="9"/>
  <c r="H130" s="1"/>
  <c r="F113" i="24"/>
  <c r="F112" s="1"/>
  <c r="F251" i="25"/>
  <c r="D234" i="24"/>
  <c r="E189"/>
  <c r="E174"/>
  <c r="G187" i="14"/>
  <c r="G186" s="1"/>
  <c r="G289" i="25"/>
  <c r="E51" i="26" s="1"/>
  <c r="G163" i="25"/>
  <c r="E36" i="26" s="1"/>
  <c r="E219" i="24"/>
  <c r="E218" s="1"/>
  <c r="E163"/>
  <c r="E162" s="1"/>
  <c r="E140"/>
  <c r="H303" i="25"/>
  <c r="F15" i="15"/>
  <c r="F16"/>
  <c r="H251" i="14"/>
  <c r="G249"/>
  <c r="G248" s="1"/>
  <c r="F174" i="13"/>
  <c r="H26" i="25"/>
  <c r="H25" s="1"/>
  <c r="D49" i="24"/>
  <c r="D48" s="1"/>
  <c r="D45" s="1"/>
  <c r="F212" i="25"/>
  <c r="F209" s="1"/>
  <c r="D40" i="26" s="1"/>
  <c r="D246" i="24"/>
  <c r="G42" i="14"/>
  <c r="H44"/>
  <c r="F208" i="24"/>
  <c r="I40" i="9"/>
  <c r="F172" i="24"/>
  <c r="F171"/>
  <c r="F170" s="1"/>
  <c r="I66" i="9"/>
  <c r="H176" i="14"/>
  <c r="G174"/>
  <c r="H167"/>
  <c r="H165" s="1"/>
  <c r="H154"/>
  <c r="H152" s="1"/>
  <c r="H145"/>
  <c r="H144" s="1"/>
  <c r="H83"/>
  <c r="E20" i="24"/>
  <c r="E18" i="26" s="1"/>
  <c r="H285" i="14"/>
  <c r="G263"/>
  <c r="H45"/>
  <c r="E183" i="24"/>
  <c r="E182" s="1"/>
  <c r="F200" i="13"/>
  <c r="H22" i="25"/>
  <c r="H21" s="1"/>
  <c r="H20" s="1"/>
  <c r="H276" i="14"/>
  <c r="H275" s="1"/>
  <c r="F177" i="13"/>
  <c r="G177" s="1"/>
  <c r="G40" i="9"/>
  <c r="G30" s="1"/>
  <c r="G22" s="1"/>
  <c r="G21" s="1"/>
  <c r="D172" i="24"/>
  <c r="D171" s="1"/>
  <c r="D170" s="1"/>
  <c r="D169" s="1"/>
  <c r="G196" i="25"/>
  <c r="G189"/>
  <c r="H66" i="9"/>
  <c r="E179" i="24"/>
  <c r="E178"/>
  <c r="E173" s="1"/>
  <c r="E169" s="1"/>
  <c r="F174"/>
  <c r="F173" s="1"/>
  <c r="E57" i="26"/>
  <c r="E56" s="1"/>
  <c r="F57"/>
  <c r="F56" s="1"/>
  <c r="I30" i="9"/>
  <c r="I22" s="1"/>
  <c r="I21" s="1"/>
  <c r="H98" i="25"/>
  <c r="F122" i="24"/>
  <c r="F121" s="1"/>
  <c r="F120" s="1"/>
  <c r="H214" i="25"/>
  <c r="H212" s="1"/>
  <c r="H209" s="1"/>
  <c r="F40" i="26" s="1"/>
  <c r="I213" i="9"/>
  <c r="I212" s="1"/>
  <c r="I211" s="1"/>
  <c r="I210" s="1"/>
  <c r="F22" i="24"/>
  <c r="F124"/>
  <c r="F59" i="26"/>
  <c r="F58" s="1"/>
  <c r="H325" i="25"/>
  <c r="H324" s="1"/>
  <c r="H323" s="1"/>
  <c r="G40" i="13"/>
  <c r="G39" s="1"/>
  <c r="F39"/>
  <c r="F38" s="1"/>
  <c r="H180" i="14"/>
  <c r="E39" i="26"/>
  <c r="F199" i="13"/>
  <c r="G199" s="1"/>
  <c r="G200"/>
  <c r="H42" i="14"/>
  <c r="H41" s="1"/>
  <c r="G172"/>
  <c r="H172" s="1"/>
  <c r="G173"/>
  <c r="H173" s="1"/>
  <c r="H174"/>
  <c r="G174" i="13"/>
  <c r="F50" i="24"/>
  <c r="F48" s="1"/>
  <c r="H178" i="14"/>
  <c r="G283" l="1"/>
  <c r="H283" s="1"/>
  <c r="H284"/>
  <c r="H279" s="1"/>
  <c r="G279"/>
  <c r="D57" i="26"/>
  <c r="D56" s="1"/>
  <c r="F317" i="25"/>
  <c r="F37" i="13"/>
  <c r="G38"/>
  <c r="G37" s="1"/>
  <c r="E26" i="26"/>
  <c r="E25" s="1"/>
  <c r="G92" i="25"/>
  <c r="H51"/>
  <c r="F24" i="26" s="1"/>
  <c r="G51" i="25"/>
  <c r="E24" i="26" s="1"/>
  <c r="E225" i="24"/>
  <c r="H256" i="14"/>
  <c r="H255" s="1"/>
  <c r="F225" i="24"/>
  <c r="H92" i="25"/>
  <c r="G296"/>
  <c r="E53" i="26" s="1"/>
  <c r="E52" s="1"/>
  <c r="G35" i="14"/>
  <c r="G151" i="25"/>
  <c r="E35" i="26" s="1"/>
  <c r="E22" i="24"/>
  <c r="E21" s="1"/>
  <c r="F225" i="25"/>
  <c r="D42" i="26" s="1"/>
  <c r="D123" i="24"/>
  <c r="D225"/>
  <c r="G256" i="14"/>
  <c r="G255" s="1"/>
  <c r="E47" i="26"/>
  <c r="H39" i="25"/>
  <c r="F22" i="26" s="1"/>
  <c r="E111" i="24"/>
  <c r="D21"/>
  <c r="H247" i="25"/>
  <c r="F212" i="24"/>
  <c r="E212"/>
  <c r="D111"/>
  <c r="H225" i="25"/>
  <c r="F42" i="26" s="1"/>
  <c r="F137" i="13"/>
  <c r="E68" i="24"/>
  <c r="F172" i="13"/>
  <c r="G275" i="25"/>
  <c r="H275"/>
  <c r="G79" i="14"/>
  <c r="G197"/>
  <c r="G221"/>
  <c r="G232"/>
  <c r="E188" i="24"/>
  <c r="E187" s="1"/>
  <c r="F28" i="13"/>
  <c r="G30" i="14"/>
  <c r="G29" s="1"/>
  <c r="H25"/>
  <c r="H24" s="1"/>
  <c r="H16" s="1"/>
  <c r="H15" s="1"/>
  <c r="H14" s="1"/>
  <c r="G111"/>
  <c r="G129"/>
  <c r="G265"/>
  <c r="H265" s="1"/>
  <c r="G18"/>
  <c r="G17" s="1"/>
  <c r="G16" s="1"/>
  <c r="G15" s="1"/>
  <c r="G14" s="1"/>
  <c r="F134" i="24"/>
  <c r="F133"/>
  <c r="F123" s="1"/>
  <c r="H296" i="25"/>
  <c r="E133" i="24"/>
  <c r="E123" s="1"/>
  <c r="E125"/>
  <c r="E124" s="1"/>
  <c r="G55" i="14"/>
  <c r="G54" s="1"/>
  <c r="G37"/>
  <c r="G36" s="1"/>
  <c r="H250"/>
  <c r="H249" s="1"/>
  <c r="H44" i="25"/>
  <c r="F68" i="24"/>
  <c r="G184" i="25"/>
  <c r="G173" s="1"/>
  <c r="E38" i="26" s="1"/>
  <c r="F162" i="13"/>
  <c r="F161" s="1"/>
  <c r="G229"/>
  <c r="G205" s="1"/>
  <c r="H307" i="25"/>
  <c r="H295" s="1"/>
  <c r="G245" i="14"/>
  <c r="H245" s="1"/>
  <c r="H248"/>
  <c r="H246" i="25"/>
  <c r="F45" i="26"/>
  <c r="F44" s="1"/>
  <c r="G247" i="25"/>
  <c r="E45" i="26" s="1"/>
  <c r="D43"/>
  <c r="F172" i="25"/>
  <c r="F53" i="26"/>
  <c r="H210" i="9"/>
  <c r="I343"/>
  <c r="I157" i="19"/>
  <c r="J157" s="1"/>
  <c r="H156"/>
  <c r="I156" s="1"/>
  <c r="J156" s="1"/>
  <c r="G110" i="13"/>
  <c r="G109" s="1"/>
  <c r="F109"/>
  <c r="F89"/>
  <c r="G90"/>
  <c r="F198"/>
  <c r="F45" i="24"/>
  <c r="F21" s="1"/>
  <c r="D212"/>
  <c r="H114" i="25"/>
  <c r="H189"/>
  <c r="F39" i="26" s="1"/>
  <c r="F151" i="24"/>
  <c r="F150" s="1"/>
  <c r="F84"/>
  <c r="F97" i="13"/>
  <c r="G235"/>
  <c r="G137"/>
  <c r="I55" i="19"/>
  <c r="I48" s="1"/>
  <c r="J56"/>
  <c r="J55" s="1"/>
  <c r="J48" s="1"/>
  <c r="I347"/>
  <c r="J347" s="1"/>
  <c r="H346"/>
  <c r="H345" s="1"/>
  <c r="F18" i="13"/>
  <c r="G19"/>
  <c r="D37" i="26"/>
  <c r="H54" i="14"/>
  <c r="G254" i="9"/>
  <c r="G151" i="13"/>
  <c r="G128"/>
  <c r="G127" s="1"/>
  <c r="G126" s="1"/>
  <c r="G125" s="1"/>
  <c r="H15" i="15"/>
  <c r="G135" i="14"/>
  <c r="H136"/>
  <c r="E84" i="24"/>
  <c r="I263" i="19"/>
  <c r="E151" i="24"/>
  <c r="E150" s="1"/>
  <c r="F256" i="13"/>
  <c r="G256" s="1"/>
  <c r="F179"/>
  <c r="G162"/>
  <c r="G161" s="1"/>
  <c r="G156" i="19"/>
  <c r="G55"/>
  <c r="G48" s="1"/>
  <c r="H16"/>
  <c r="H15" s="1"/>
  <c r="H14" s="1"/>
  <c r="G14"/>
  <c r="G13" s="1"/>
  <c r="G149" i="9"/>
  <c r="G125" s="1"/>
  <c r="J340" i="19"/>
  <c r="J330" s="1"/>
  <c r="J323" s="1"/>
  <c r="I330"/>
  <c r="I323" s="1"/>
  <c r="H247"/>
  <c r="I247" s="1"/>
  <c r="J247" s="1"/>
  <c r="G207" i="13"/>
  <c r="I264" i="19"/>
  <c r="H357" i="9"/>
  <c r="H343" s="1"/>
  <c r="H150"/>
  <c r="H149" s="1"/>
  <c r="H125" s="1"/>
  <c r="F229" i="13"/>
  <c r="F128"/>
  <c r="F127" s="1"/>
  <c r="F126" s="1"/>
  <c r="F125" s="1"/>
  <c r="G346" i="19"/>
  <c r="G345" s="1"/>
  <c r="G365" s="1"/>
  <c r="F54" i="26"/>
  <c r="I265" i="9"/>
  <c r="I254" s="1"/>
  <c r="G378"/>
  <c r="G377" s="1"/>
  <c r="H187" i="14"/>
  <c r="H137"/>
  <c r="H37"/>
  <c r="H36" s="1"/>
  <c r="H35" s="1"/>
  <c r="J274" i="19"/>
  <c r="J272" s="1"/>
  <c r="J265" s="1"/>
  <c r="H138"/>
  <c r="I72"/>
  <c r="H178" i="25"/>
  <c r="H173" s="1"/>
  <c r="E74" i="24"/>
  <c r="E73" s="1"/>
  <c r="D101"/>
  <c r="D84"/>
  <c r="F74"/>
  <c r="F158" i="25"/>
  <c r="F151" s="1"/>
  <c r="D35" i="26" s="1"/>
  <c r="F289" i="25"/>
  <c r="G24"/>
  <c r="E20" i="26"/>
  <c r="H186" i="14"/>
  <c r="G185"/>
  <c r="D26" i="26"/>
  <c r="D25" s="1"/>
  <c r="F92" i="25"/>
  <c r="F103"/>
  <c r="D30" i="26"/>
  <c r="D28" s="1"/>
  <c r="F295" i="25"/>
  <c r="D53" i="26"/>
  <c r="D52" s="1"/>
  <c r="F169" i="24"/>
  <c r="G142" i="14"/>
  <c r="H143"/>
  <c r="H151"/>
  <c r="G150"/>
  <c r="H164"/>
  <c r="H159" s="1"/>
  <c r="H158" s="1"/>
  <c r="G159"/>
  <c r="G158" s="1"/>
  <c r="F20" i="26"/>
  <c r="F19" s="1"/>
  <c r="G28" i="14"/>
  <c r="H28" s="1"/>
  <c r="H29"/>
  <c r="E40" i="26"/>
  <c r="D46"/>
  <c r="D44" s="1"/>
  <c r="F246" i="25"/>
  <c r="G273" i="14"/>
  <c r="H274"/>
  <c r="E46" i="26"/>
  <c r="E44" s="1"/>
  <c r="G246" i="25"/>
  <c r="F111" i="24"/>
  <c r="G290" i="14"/>
  <c r="H291"/>
  <c r="G225" i="25"/>
  <c r="E42" i="26" s="1"/>
  <c r="G131" i="25"/>
  <c r="G114"/>
  <c r="G107" s="1"/>
  <c r="H151"/>
  <c r="F51"/>
  <c r="F131"/>
  <c r="F101" i="24"/>
  <c r="F73" s="1"/>
  <c r="H107" i="25"/>
  <c r="F216" i="13"/>
  <c r="F205" s="1"/>
  <c r="G307" i="25"/>
  <c r="G295" s="1"/>
  <c r="D74" i="24"/>
  <c r="E19" l="1"/>
  <c r="G128" i="14"/>
  <c r="H129"/>
  <c r="G126"/>
  <c r="H126" s="1"/>
  <c r="G28" i="13"/>
  <c r="F27"/>
  <c r="G231" i="14"/>
  <c r="H232"/>
  <c r="H197"/>
  <c r="G196"/>
  <c r="H196" s="1"/>
  <c r="G195"/>
  <c r="F171" i="13"/>
  <c r="G172"/>
  <c r="G110" i="14"/>
  <c r="H111"/>
  <c r="G220"/>
  <c r="G219" s="1"/>
  <c r="G218" s="1"/>
  <c r="H221"/>
  <c r="H220" s="1"/>
  <c r="H219" s="1"/>
  <c r="H218" s="1"/>
  <c r="G78"/>
  <c r="H79"/>
  <c r="D73" i="24"/>
  <c r="D19" s="1"/>
  <c r="F19"/>
  <c r="E37" i="26"/>
  <c r="H24" i="25"/>
  <c r="E19" i="26"/>
  <c r="F38"/>
  <c r="F37" s="1"/>
  <c r="H172" i="25"/>
  <c r="H387" i="9"/>
  <c r="D19" i="28" s="1"/>
  <c r="D21" s="1"/>
  <c r="I387" i="9"/>
  <c r="E19" i="28" s="1"/>
  <c r="E21" s="1"/>
  <c r="J72" i="19"/>
  <c r="J69" s="1"/>
  <c r="J68" s="1"/>
  <c r="J67" s="1"/>
  <c r="I69"/>
  <c r="I68" s="1"/>
  <c r="I67" s="1"/>
  <c r="J263"/>
  <c r="J264"/>
  <c r="H135" i="14"/>
  <c r="G24" i="13" s="1"/>
  <c r="G134" i="14"/>
  <c r="F88" i="13"/>
  <c r="F81" s="1"/>
  <c r="G89"/>
  <c r="G88" s="1"/>
  <c r="G81" s="1"/>
  <c r="G387" i="9"/>
  <c r="C19" i="28" s="1"/>
  <c r="C21" s="1"/>
  <c r="F52" i="26"/>
  <c r="D51"/>
  <c r="D47" s="1"/>
  <c r="F275" i="25"/>
  <c r="H137" i="19"/>
  <c r="I138"/>
  <c r="J138" s="1"/>
  <c r="F17" i="13"/>
  <c r="G18"/>
  <c r="F197"/>
  <c r="G198"/>
  <c r="D24" i="26"/>
  <c r="D19" s="1"/>
  <c r="F24" i="25"/>
  <c r="G130"/>
  <c r="E33" i="26"/>
  <c r="E32" s="1"/>
  <c r="E60" s="1"/>
  <c r="G149" i="14"/>
  <c r="H150"/>
  <c r="G172" i="25"/>
  <c r="F30" i="26"/>
  <c r="F28" s="1"/>
  <c r="H103" i="25"/>
  <c r="F130"/>
  <c r="D33" i="26"/>
  <c r="D32" s="1"/>
  <c r="F35"/>
  <c r="F32" s="1"/>
  <c r="H130" i="25"/>
  <c r="E30" i="26"/>
  <c r="E28" s="1"/>
  <c r="G103" i="25"/>
  <c r="G327" s="1"/>
  <c r="H290" i="14"/>
  <c r="H289" s="1"/>
  <c r="H288" s="1"/>
  <c r="G289"/>
  <c r="G288" s="1"/>
  <c r="G272"/>
  <c r="H273"/>
  <c r="H272" s="1"/>
  <c r="H142"/>
  <c r="G141"/>
  <c r="G184"/>
  <c r="H184" s="1"/>
  <c r="H185"/>
  <c r="H327" i="25"/>
  <c r="H195" i="14" l="1"/>
  <c r="G194"/>
  <c r="G230"/>
  <c r="H230" s="1"/>
  <c r="H231"/>
  <c r="H78"/>
  <c r="G77"/>
  <c r="G109"/>
  <c r="H110"/>
  <c r="G171" i="13"/>
  <c r="F170"/>
  <c r="F26"/>
  <c r="F25" s="1"/>
  <c r="G27"/>
  <c r="G26" s="1"/>
  <c r="G25" s="1"/>
  <c r="G127" i="14"/>
  <c r="H127" s="1"/>
  <c r="H128"/>
  <c r="H215"/>
  <c r="H203" s="1"/>
  <c r="H202" s="1"/>
  <c r="F178" i="13"/>
  <c r="G197"/>
  <c r="G178" s="1"/>
  <c r="G17"/>
  <c r="F16"/>
  <c r="H136" i="19"/>
  <c r="I137"/>
  <c r="J137" s="1"/>
  <c r="H134" i="14"/>
  <c r="G23" i="13" s="1"/>
  <c r="G125" i="14"/>
  <c r="F60" i="26"/>
  <c r="G140" i="14"/>
  <c r="H141"/>
  <c r="H149"/>
  <c r="H148" s="1"/>
  <c r="G148"/>
  <c r="D60" i="26"/>
  <c r="F327" i="25"/>
  <c r="G108" i="14" l="1"/>
  <c r="H109"/>
  <c r="G170" i="13"/>
  <c r="F167"/>
  <c r="G76" i="14"/>
  <c r="H77"/>
  <c r="G193"/>
  <c r="H194"/>
  <c r="G215"/>
  <c r="G203" s="1"/>
  <c r="G202" s="1"/>
  <c r="H125"/>
  <c r="G124"/>
  <c r="H124" s="1"/>
  <c r="G16" i="13"/>
  <c r="G15" s="1"/>
  <c r="G266" s="1"/>
  <c r="F15"/>
  <c r="H135" i="19"/>
  <c r="I136"/>
  <c r="J136" s="1"/>
  <c r="G139" i="14"/>
  <c r="H140"/>
  <c r="H193" l="1"/>
  <c r="G192"/>
  <c r="H192" s="1"/>
  <c r="H76"/>
  <c r="H53" s="1"/>
  <c r="H13" s="1"/>
  <c r="G53"/>
  <c r="G13" s="1"/>
  <c r="G106"/>
  <c r="H106" s="1"/>
  <c r="G107"/>
  <c r="H107" s="1"/>
  <c r="H108"/>
  <c r="F124" i="13"/>
  <c r="F266" s="1"/>
  <c r="G167"/>
  <c r="I135" i="19"/>
  <c r="J135" s="1"/>
  <c r="J365" s="1"/>
  <c r="H365"/>
  <c r="H139" i="14"/>
  <c r="G308"/>
  <c r="H308" l="1"/>
</calcChain>
</file>

<file path=xl/sharedStrings.xml><?xml version="1.0" encoding="utf-8"?>
<sst xmlns="http://schemas.openxmlformats.org/spreadsheetml/2006/main" count="8280" uniqueCount="1159">
  <si>
    <t>(в тыс. рублей)</t>
  </si>
  <si>
    <t>РАСПРЕДЕЛЕНИЕ</t>
  </si>
  <si>
    <t>Наименование показателя</t>
  </si>
  <si>
    <t>Коды бюджетной классификации</t>
  </si>
  <si>
    <t>Сумма</t>
  </si>
  <si>
    <t>Раздел</t>
  </si>
  <si>
    <t>Под-раздел</t>
  </si>
  <si>
    <t>Целевая                   статья</t>
  </si>
  <si>
    <t>Вид расхода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</si>
  <si>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</si>
  <si>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</si>
  <si>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</si>
  <si>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</si>
  <si>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</si>
  <si>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002 0000</t>
  </si>
  <si>
    <t>Центральный аппарат</t>
  </si>
  <si>
    <t>002 0400</t>
  </si>
  <si>
    <t>002 0401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</si>
  <si>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</si>
  <si>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</si>
  <si>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Глава местной администрации (исполнительно-распорядительного органа муниципального образования)</t>
  </si>
  <si>
    <t>002 0800</t>
  </si>
  <si>
    <t>11</t>
  </si>
  <si>
    <t>Резервные фонды</t>
  </si>
  <si>
    <t>12</t>
  </si>
  <si>
    <t>070 0000</t>
  </si>
  <si>
    <t>Резервные фонды местных администраций</t>
  </si>
  <si>
    <t>070 0500</t>
  </si>
  <si>
    <t>Другие общегосударственные вопросы</t>
  </si>
  <si>
    <t>Целевые программы муниципальных образований</t>
  </si>
  <si>
    <t>795 0000</t>
  </si>
  <si>
    <t>795 0001</t>
  </si>
  <si>
    <t>НАЦИОНАЛЬНАЯ БЕЗОПАСНОСТЬ И ПРАВООХРАНИТЕЛЬНАЯ ДЕЯТЕЛЬНОСТЬ</t>
  </si>
  <si>
    <t>09</t>
  </si>
  <si>
    <t>Поисковые и аварийно-спасательные учреждения</t>
  </si>
  <si>
    <t>302 0000</t>
  </si>
  <si>
    <t>Обеспечение деятельности подведомственных учреждений</t>
  </si>
  <si>
    <t>302 9900</t>
  </si>
  <si>
    <t>302 9901</t>
  </si>
  <si>
    <t>НАЦИОНАЛЬНАЯ ЭКОНОМИКА</t>
  </si>
  <si>
    <t>Другие вопросы в области национальной экономики</t>
  </si>
  <si>
    <t>345 0000</t>
  </si>
  <si>
    <t>Субсидии на государственную поддержку малого предпринимательства</t>
  </si>
  <si>
    <t>ЖИЛИЩНО-КОММУНАЛЬНОЕ ХОЗЯЙСТВО</t>
  </si>
  <si>
    <t>05</t>
  </si>
  <si>
    <t>Жилищное хозяйство</t>
  </si>
  <si>
    <t>Поддержка жилищного хозяйства</t>
  </si>
  <si>
    <t>350 0000</t>
  </si>
  <si>
    <t>350 0200</t>
  </si>
  <si>
    <t>350 0201</t>
  </si>
  <si>
    <t>02</t>
  </si>
  <si>
    <t>Благоустройство</t>
  </si>
  <si>
    <t>600 0000</t>
  </si>
  <si>
    <t>Уличное освещение</t>
  </si>
  <si>
    <t>600 0100</t>
  </si>
  <si>
    <t>600 0101</t>
  </si>
  <si>
    <t>Озеленение</t>
  </si>
  <si>
    <t>600 0300</t>
  </si>
  <si>
    <t>Организация и содержание мест захоронения</t>
  </si>
  <si>
    <t>600 0400</t>
  </si>
  <si>
    <t>Прочие мероприятия по благоустройству городских округов и поселений</t>
  </si>
  <si>
    <t>600 0500</t>
  </si>
  <si>
    <t>Другие вопросы в области жилищно-коммунального хозяйства</t>
  </si>
  <si>
    <t>ОБРАЗОВАНИЕ</t>
  </si>
  <si>
    <t>07</t>
  </si>
  <si>
    <t>Общее образование</t>
  </si>
  <si>
    <t>Школы-детские сады, школы начальные, неполные средние и средние</t>
  </si>
  <si>
    <t>421 0000</t>
  </si>
  <si>
    <t>421 9900</t>
  </si>
  <si>
    <t>421 9901</t>
  </si>
  <si>
    <t>Учреждения по внешкольной работе с детьми</t>
  </si>
  <si>
    <t>423 0000</t>
  </si>
  <si>
    <t>423 9900</t>
  </si>
  <si>
    <t>423 9901</t>
  </si>
  <si>
    <t>Молодежная политика и оздоровление детей</t>
  </si>
  <si>
    <t>Другие вопросы в области образования</t>
  </si>
  <si>
    <t>435 9901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</si>
  <si>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</si>
  <si>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452 0000</t>
  </si>
  <si>
    <t>452 9900</t>
  </si>
  <si>
    <t>452 9901</t>
  </si>
  <si>
    <t>08</t>
  </si>
  <si>
    <t>Культура</t>
  </si>
  <si>
    <t>440 9900</t>
  </si>
  <si>
    <t>Библиотеки</t>
  </si>
  <si>
    <t>442 0000</t>
  </si>
  <si>
    <t>442 9900</t>
  </si>
  <si>
    <t>Периодические издания,  учрежденные органами  законодательной и исполнительной власти</t>
  </si>
  <si>
    <t>457 0000</t>
  </si>
  <si>
    <t>06</t>
  </si>
  <si>
    <t>Физическая культура и спорт</t>
  </si>
  <si>
    <t>Центры спортивной подготовки (сборные команды)</t>
  </si>
  <si>
    <t>482 0000</t>
  </si>
  <si>
    <t>482 9901</t>
  </si>
  <si>
    <t>10</t>
  </si>
  <si>
    <t>Учебно-методические кабинеты 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</si>
  <si>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452  9901</t>
  </si>
  <si>
    <t>СОЦИАЛЬНАЯ ПОЛИТИКА</t>
  </si>
  <si>
    <t>Пенсионное обеспечение</t>
  </si>
  <si>
    <t>Доплаты к пенсиям, дополнительное пенсионное обеспечение</t>
  </si>
  <si>
    <t>491 0000</t>
  </si>
  <si>
    <t>Доплаты к пенсиям государственных служащих субъектов Российской Федерации и муниципальных служащих</t>
  </si>
  <si>
    <t>491 0100</t>
  </si>
  <si>
    <t>Социальное обеспечение населения</t>
  </si>
  <si>
    <t>ВСЕГО</t>
  </si>
  <si>
    <t>(в тыс.рублей)</t>
  </si>
  <si>
    <t>Гл</t>
  </si>
  <si>
    <t>Целевая статья</t>
  </si>
  <si>
    <t>МЕСТНАЯ АДМИНИСТРАЦИЯ ГОРОДСКОГО ОКРУГА НАЛЬЧИК</t>
  </si>
  <si>
    <t>Руководство и управление в сфере установленных функций органов государственной власти субъектов Российской Федерации  и органов местного самоуправления</t>
  </si>
  <si>
    <t>Руководство и управление в сфере установленных функций органов местного самоуправления</t>
  </si>
  <si>
    <t>Защита населения и территорий от чрезвычайных ситуаций природного и техногенного характера, гражданская оборона</t>
  </si>
  <si>
    <t>Защита населения и территорий от последствий чрезвычайных ситуаций природного и техногенного характера</t>
  </si>
  <si>
    <t>Капитальный ремонт государственного жилищного фонда субъектов Российской Федерации  и муниципального жилищного фонда</t>
  </si>
  <si>
    <t>Образование</t>
  </si>
  <si>
    <t xml:space="preserve">10 </t>
  </si>
  <si>
    <t xml:space="preserve">07 </t>
  </si>
  <si>
    <t xml:space="preserve">Обеспечение деятельности подведомственных учреждений </t>
  </si>
  <si>
    <t>ДЕПАРТАМЕНТ ПО УПРАВЛЕНИЮ ГОРОДСКИМ ИМУЩЕСТВОМ МЕСТНОЙ АДМИНИСТРАЦИИ ГОРОДСКОГО ОКРУГА НАЛЬЧИК</t>
  </si>
  <si>
    <t>ДЕПАРТАМЕНТ ОБРАЗОВАНИЯ МЕСТНОЙ АДМИНИСТРАЦИИ ГОРОДСКОГО ОКРУГА НАЛЬЧИК</t>
  </si>
  <si>
    <t>КОМИТЕТ ПО ФИЗИЧЕСКОЙ КУЛЬТУРЕ И СПОРТУ МЕСТНОЙ АДМИНИСТРАЦИИ ГОРОДСКОГО ОКРУГА НАЛЬЧИК</t>
  </si>
  <si>
    <t>ДЕПАРТАМЕНТ ФИНАНСОВ МЕСТНОЙ АДМИНИСТРАЦИИ ГОРОДСКОГО ОКРУГА НАЛЬЧИК</t>
  </si>
  <si>
    <t>Резервные фонды местных администрации</t>
  </si>
  <si>
    <t>МУНИЦИПАЛЬНЫЕ ЦЕЛЕВЫЕ ПРОГРАММЫ - ВСЕГО</t>
  </si>
  <si>
    <t>Национальная экономика</t>
  </si>
  <si>
    <t>Малое предпринимательство</t>
  </si>
  <si>
    <t>Городская целевая программа"Развитие культуры городского округа Нальчик на  2009-2011 годы"</t>
  </si>
  <si>
    <t>Городская целевая программа"Развитие физической культуры и спорта городского округа Нальчик на  2009-2011 годы"</t>
  </si>
  <si>
    <t>Социальная политика</t>
  </si>
  <si>
    <t>Обеспечение проведения выборов и референдумов</t>
  </si>
  <si>
    <t>Дорожное хозяйство</t>
  </si>
  <si>
    <t>345 0193</t>
  </si>
  <si>
    <t>КОНТРОЛЬНО-СЧЕТНАЯ ПАЛАТА ГОРОДСКОГО ОКРУГА НАЛЬЧИК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</si>
  <si>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</si>
  <si>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подведомственных учреждений (средства местного бюджета)</t>
  </si>
  <si>
    <t>СРЕДСТВА МАССОВОЙ ИНФОРМАЦИИ</t>
  </si>
  <si>
    <t>Периодическая печать и издательства</t>
  </si>
  <si>
    <t>ФИЗИЧЕСКАЯ КУЛЬТУРА И СПОРТ</t>
  </si>
  <si>
    <t>Физическая культуры</t>
  </si>
  <si>
    <t>Другие вопросы в области физической культуры и спорта</t>
  </si>
  <si>
    <t>Другие вопросы в области  культуры и кинематографии</t>
  </si>
  <si>
    <t>Транспорт</t>
  </si>
  <si>
    <t>Субсидии на государственную поддержку малого предпринимательства (средства местного бюджета)</t>
  </si>
  <si>
    <t>КУЛЬТУРА, КИНЕМАТОГРАФИЯ</t>
  </si>
  <si>
    <t>Культура, кинематография</t>
  </si>
  <si>
    <t>Проведение референдумов</t>
  </si>
  <si>
    <t>020 0000</t>
  </si>
  <si>
    <t>020 0300</t>
  </si>
  <si>
    <t>315 0000</t>
  </si>
  <si>
    <t>Дорожное хозяйство (Дорожные фонды)</t>
  </si>
  <si>
    <t>УПРАВЛЕНИЕ АРХИТЕКТУРЫ И ГРАДОСТРОИТЕЛЬСТВА</t>
  </si>
  <si>
    <t>100 8823</t>
  </si>
  <si>
    <t>100 5893</t>
  </si>
  <si>
    <t>100 0293</t>
  </si>
  <si>
    <t>13</t>
  </si>
  <si>
    <t>Дорожное хозяйство (дорожные фонды)</t>
  </si>
  <si>
    <t>315 0200</t>
  </si>
  <si>
    <t xml:space="preserve">Поддержка дорожного хозяйства </t>
  </si>
  <si>
    <t>065 0000</t>
  </si>
  <si>
    <t>065 0300</t>
  </si>
  <si>
    <t>Процентные платежи по муниципальному долгу</t>
  </si>
  <si>
    <t>Процентные платежи по долговым обязательствам</t>
  </si>
  <si>
    <t>ОБСЛУЖИВАНИЕ ГОСУДАРСТВЕННОГО И МУНИЦИПАЛЬНОГО ДОЛГА</t>
  </si>
  <si>
    <t>350 0301</t>
  </si>
  <si>
    <t>350 0300</t>
  </si>
  <si>
    <t>Мероприятия в области жилищного хозяйства</t>
  </si>
  <si>
    <t>Обслуживание государственного внутреннего и муниципального долга</t>
  </si>
  <si>
    <t>121</t>
  </si>
  <si>
    <t>244</t>
  </si>
  <si>
    <t xml:space="preserve">Фонд оплаты труда и страховые взносы
</t>
  </si>
  <si>
    <t xml:space="preserve">Прочая закупка товаров, работ и услуг
для государственных (муниципальных) нужд
</t>
  </si>
  <si>
    <t>111</t>
  </si>
  <si>
    <t>810</t>
  </si>
  <si>
    <t>315 0293</t>
  </si>
  <si>
    <t>Поддержка дорожного хозяйства (средства местного бюджета)</t>
  </si>
  <si>
    <t>243</t>
  </si>
  <si>
    <t xml:space="preserve">Закупка товаров, работ, услуг в целях капитального
ремонта государственного (муниципального) имущества
</t>
  </si>
  <si>
    <t>Меры социальной поддержки населения по публичным
нормативным обязательствам</t>
  </si>
  <si>
    <t xml:space="preserve">Резервные средства
</t>
  </si>
  <si>
    <t>870</t>
  </si>
  <si>
    <t>611</t>
  </si>
  <si>
    <t xml:space="preserve">Субсидии бюджетным учреждениям на финансовое
обеспечение государственного задания на оказание
государственных услуг (выполнение работ)
</t>
  </si>
  <si>
    <t>Муниципальная целевая программа «Развитие культуры городского округа Нальчик на 2012-2015 годы»</t>
  </si>
  <si>
    <t>621</t>
  </si>
  <si>
    <t>415</t>
  </si>
  <si>
    <t xml:space="preserve">Бюджетные инвестиции в объекты государственной (муниципальной)
собственности автономным учреждениям
</t>
  </si>
  <si>
    <t>Муниципальная целевая программа «Развитие физической культуры  и спорта городского округа Нальчик на 2012-2015 годы»</t>
  </si>
  <si>
    <t>710</t>
  </si>
  <si>
    <t>Обслуживание государственного (муниципального) долга</t>
  </si>
  <si>
    <t>851</t>
  </si>
  <si>
    <t xml:space="preserve">Уплата налога на имущество организаций
и земельного налога
</t>
  </si>
  <si>
    <t xml:space="preserve">Уплата прочих налогов, сборов и иных платежей
</t>
  </si>
  <si>
    <t>852</t>
  </si>
  <si>
    <t>Городская целевая программа "Развитие и поддержка малого предпринимательства в городском округе Нальчик на 2012-2015 годы"</t>
  </si>
  <si>
    <t>Городская целевая программа "Молодежь г.Нальчика на 2012-2015 годы"</t>
  </si>
  <si>
    <t>Муниципальная целевая программа «Модернизация школьных и дошкольных учреждений городского округа Нальчик на 2012-2015 годы»</t>
  </si>
  <si>
    <t>Муниципальная целевая программа «Противодействие коррупции в городском округе Нальчик на 2011-2013 годы»</t>
  </si>
  <si>
    <t>Муниципальная целевая программа "Реформирование и модернизация ЖКХ-комплекса г.о.Нальчик на 2011-2015 годы"</t>
  </si>
  <si>
    <t>Общегосударственные вопросы</t>
  </si>
  <si>
    <t>2013 год</t>
  </si>
  <si>
    <t>2014 год</t>
  </si>
  <si>
    <t>Подраздел</t>
  </si>
  <si>
    <t>Подпрограмма "Обеспечение жильем молодых семей на 2011-2015 годы"</t>
  </si>
  <si>
    <t>122</t>
  </si>
  <si>
    <t>242</t>
  </si>
  <si>
    <t>Закупка товаров, работ, услуг в сфере
информационно-коммуникационных технологий</t>
  </si>
  <si>
    <t>Уплата прочих налогов, сборов и иных платежей</t>
  </si>
  <si>
    <t>Прочая закупка товаров, работ и услуг
для государственных (муниципальных) нужд</t>
  </si>
  <si>
    <t>312</t>
  </si>
  <si>
    <t>Фонд оплаты труда и страховые взносы</t>
  </si>
  <si>
    <t xml:space="preserve">Закупка товаров, работ, услуг в целях капитального ремонта государственного (муниципального) имущества </t>
  </si>
  <si>
    <t>Резервные средства</t>
  </si>
  <si>
    <t>Бюджетные инвестиции в объекты государственной (муниицпальной) собственности автономным учреждениям</t>
  </si>
  <si>
    <t>413</t>
  </si>
  <si>
    <t>Бюджетные инвестиции в объекты
государственной (муниципальной) собственности бюджетным учреждениям вне рамок государственного оборонного заказа</t>
  </si>
  <si>
    <t>Бюджетные инвестиции в объекты государственной (муниципальной)
собственности автономным учреждениям</t>
  </si>
  <si>
    <t>350</t>
  </si>
  <si>
    <t>831</t>
  </si>
  <si>
    <t>Премии и гранты</t>
  </si>
  <si>
    <t xml:space="preserve"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
а также в результате деятельности казенных учреждений </t>
  </si>
  <si>
    <t>112</t>
  </si>
  <si>
    <t>Иные выплаты персоналу, за исключением фонда оплаты труда</t>
  </si>
  <si>
    <t>Субсидии юридическим лицам (кроме государственных учреждений) и физическим лицам - производителям товаров, работ, услуг</t>
  </si>
  <si>
    <t>Закупка товаров, работ, услуг в целях капитального ремонта государственного (муниципального) имущества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</si>
  <si>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 услуг (выполнение работ)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</si>
  <si>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 услуг (выполнение работ)</t>
  </si>
  <si>
    <t>821</t>
  </si>
  <si>
    <t>ОТДЕЛ ЗАПИСИ АКТОВ ГРАЖДАНСКОГО СОСТОЯНИЯ Г.НАЛЬЧИКА</t>
  </si>
  <si>
    <t>000 1380</t>
  </si>
  <si>
    <t xml:space="preserve">Государственная регистрация актов гражданского состояния </t>
  </si>
  <si>
    <t>440 0200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</si>
  <si>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</si>
  <si>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СОЦИАЛЬНАЯ  ПОЛИТИКА</t>
  </si>
  <si>
    <t>Охрана семьи и детства</t>
  </si>
  <si>
    <t>Федеральный закон от 19 мая 1995 года № 81-ФЗ "О государственных пособиях граждан, имеющих детей"</t>
  </si>
  <si>
    <t>505 0500</t>
  </si>
  <si>
    <t>505 0592</t>
  </si>
  <si>
    <t>Меры социальной поддержки населения по публичным нормативным обязательствам</t>
  </si>
  <si>
    <t>Оплата труда приемного родителя (за счет субвенций из республиканского бюджета КБР)</t>
  </si>
  <si>
    <t>Выплаты семьям опекунов на содержание подопечных детей (за счет субвенций из республиканского бюджета КБР)</t>
  </si>
  <si>
    <t>Выплаты патронатной семье на содержание подопечных детей (средства республиканского бюджета)</t>
  </si>
  <si>
    <t>520 1311</t>
  </si>
  <si>
    <t>520 1312</t>
  </si>
  <si>
    <t>520 1313</t>
  </si>
  <si>
    <t>Другие вопросы в области социальной политики</t>
  </si>
  <si>
    <t>002 0424</t>
  </si>
  <si>
    <t>002 0481</t>
  </si>
  <si>
    <t>520 0900</t>
  </si>
  <si>
    <t>Ежемесячное денежное вознаграждение за классное руководство</t>
  </si>
  <si>
    <t>520 0991</t>
  </si>
  <si>
    <t>Ежемесячное денежное вознаграждение за классное руководство (средства федерального бюджета)</t>
  </si>
  <si>
    <t>520 0992</t>
  </si>
  <si>
    <t>Ежемесячное денежное вознаграждение за классное руководство (средства республиканского бюджета КБР)</t>
  </si>
  <si>
    <t>520 1000</t>
  </si>
  <si>
    <t>520 1092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</si>
  <si>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</si>
  <si>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Выплата единовременного пособия при всех формах устройства детей, лишенных родительского попечения, в семью (средства республиканского бюджета КБР)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</si>
  <si>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 (средства республиканского бюджета КБР)</t>
  </si>
  <si>
    <t>Мероприятия по проведению оздоровительной кампании детей</t>
  </si>
  <si>
    <t>432 0000</t>
  </si>
  <si>
    <t>Оздоровление детей за счет средств ФСС</t>
  </si>
  <si>
    <t>432 0277</t>
  </si>
  <si>
    <t>421 9902</t>
  </si>
  <si>
    <t>Обеспечение деятельности подведомственных учреждений за счет субвенций из республиканского бюджета КБР</t>
  </si>
  <si>
    <t>Уплата налога на имущество организаций
и земельного налога</t>
  </si>
  <si>
    <t>Муниципальная целевая программа "Энергосбережение в городском округе Нальчик на 2011 - 2015 годы"</t>
  </si>
  <si>
    <t>Муниципальная целевая программа "Защита населения и территории городского округа Нальчик от пожаров, аварий, катастроф, стихийных бедствий и совершенствование гражданской обороны на период 2012-2014 годов"</t>
  </si>
  <si>
    <t>100 7393</t>
  </si>
  <si>
    <t>Жилищно-коммунальное хозяйство</t>
  </si>
  <si>
    <t>Муниципальная целевая программа "Повышение пожарной безопасности муниципального жилищного фонда городского округа Нальчик на 2012-2014 годы"</t>
  </si>
  <si>
    <t>181 0793</t>
  </si>
  <si>
    <t>Муниципальная целевая программа "Финансово-хозяйственное развитие МУП "Троллейбусное управление» городского округа Нальчик в 2012-2014 годах»</t>
  </si>
  <si>
    <t>Городская целевая программа"Развитие культуры городского округа Нальчик на  2012-2015 годы"</t>
  </si>
  <si>
    <t>Прочая закупка товаров, работ и услуг для государственных (муниципальных) нужд</t>
  </si>
  <si>
    <t>Субсидии автономным учреждениям на финансовое обеспечение государственного (муниципального) задания на оказание государственных услуг (выполнение работ)</t>
  </si>
  <si>
    <t>100 9093</t>
  </si>
  <si>
    <t>100 0393</t>
  </si>
  <si>
    <t>Муниципальная целевая программа «Профилактика терроризма и экстремизма в городском округе Нальчик на 2011-2014 годы» (средства местного бюджета)</t>
  </si>
  <si>
    <t>100 8993</t>
  </si>
  <si>
    <t>Муниципальная целевая программа «Модернизация школьных и дошкольных учреждений городского округа Нальчик на 2012-2015 годы» (средства местного бюджета)</t>
  </si>
  <si>
    <t>Уплата налога наимущество организаци и земельного налога</t>
  </si>
  <si>
    <t>Муниципальная целевая программа «Финансово-хозяйственное развитие МУП «НальчикАвтобусТранс в 2012-2014 годах»</t>
  </si>
  <si>
    <t>Пенсии, выплачиваемые организациями сектора государственного управления</t>
  </si>
  <si>
    <t>Субсидии гражданам на приобретение жилья</t>
  </si>
  <si>
    <t>020 0002</t>
  </si>
  <si>
    <t>Проведение выборов в представительные органы муниципальных образований</t>
  </si>
  <si>
    <t>338 0093</t>
  </si>
  <si>
    <t>Мероприятия в области строительства, архитектуры и градостроительства</t>
  </si>
  <si>
    <t>612</t>
  </si>
  <si>
    <t xml:space="preserve">Субсидии бюджетным учреждениям на финансовое обеспечение государственного задания на оказание государственных услуг (выполнение работ) </t>
  </si>
  <si>
    <t>Субсидии бюджетным учреждениям на иные цели</t>
  </si>
  <si>
    <t>313</t>
  </si>
  <si>
    <t>Пособия и компенсации по публичным нормативным обязательствам</t>
  </si>
  <si>
    <t>Коммунальное хозяйство</t>
  </si>
  <si>
    <t>092 3493</t>
  </si>
  <si>
    <t>Муниципальная целевая программа "Ремонт  улично-дорожной сети и дворовых территорий многоквартирных домов в городском округе Нальчик в 2012-2014 годы"</t>
  </si>
  <si>
    <t>001 1393</t>
  </si>
  <si>
    <t>002 9900</t>
  </si>
  <si>
    <t>322</t>
  </si>
  <si>
    <t>457 9900</t>
  </si>
  <si>
    <t>315 0100</t>
  </si>
  <si>
    <t>315 0102</t>
  </si>
  <si>
    <t>Содержание и управление дорожным хозяйством</t>
  </si>
  <si>
    <t>Капитальный ремонт, ремонт и содержание автомобильных дорог общего пользования муниципального значения</t>
  </si>
  <si>
    <t>452  9900</t>
  </si>
  <si>
    <t xml:space="preserve">                                                               (в тыс. руб.)</t>
  </si>
  <si>
    <t>Код бюджетной классификации Российской Федерации</t>
  </si>
  <si>
    <t>Вид заимствования</t>
  </si>
  <si>
    <t>000 01 02 00 00 04 0000 710</t>
  </si>
  <si>
    <t xml:space="preserve">Получение кредитов от кредитных организаций бюджетом городского округа в валюте Российской  Федерации    </t>
  </si>
  <si>
    <t>000 01 02 00 00 04 0000 810</t>
  </si>
  <si>
    <t xml:space="preserve">Погашение бюджетом городского округа кредитов от кредитных организаций в валюте Российской Федерации   </t>
  </si>
  <si>
    <t>000 01 03 00 00 04 0000 710</t>
  </si>
  <si>
    <t xml:space="preserve">Получение бюджетных кредитов от других бюджетов бюджетной системы Российской Федерации бюджетом городского округа в валюте Российской Федерации </t>
  </si>
  <si>
    <t>000 01 03 00 00 04 0000 810</t>
  </si>
  <si>
    <t xml:space="preserve">Погашение бюджетом городского округа бюджетных кредитов от других бюджетов бюджетной системы Российской Федерации в валюте Российской Федерации  </t>
  </si>
  <si>
    <t>000 01 05 02 01 04 0000 510</t>
  </si>
  <si>
    <t xml:space="preserve">Увеличение прочих остатков денежных средств бюджета городского округа              </t>
  </si>
  <si>
    <t>000 01 05 02 01 04 0000 610</t>
  </si>
  <si>
    <t xml:space="preserve">Уменьшение прочих остатков денежных средств бюджета городского округа              </t>
  </si>
  <si>
    <t>000 01 06 01 00 04 0000 630</t>
  </si>
  <si>
    <t xml:space="preserve">Средства от продажи акций и иных форм участия в капитале, находящихся в собственности бюджетов городских округов     </t>
  </si>
  <si>
    <t>ИТОГО:</t>
  </si>
  <si>
    <t>Общий объем заимствований, направляемых на покрытие дефицита местного бюджета и погашение муниципальных долговых обязательств</t>
  </si>
  <si>
    <t>0020401</t>
  </si>
  <si>
    <t>Бюджетные инвестиции в объекты государственной собственности казенным учреждениям вне рамок государственного оборонного заказа</t>
  </si>
  <si>
    <t>411</t>
  </si>
  <si>
    <t>4359900</t>
  </si>
  <si>
    <t>Пособия и компенсации кроме публичных нормативных социальных выплат</t>
  </si>
  <si>
    <t>Учреждения, обеспечивающие проедоставления услуг в сфере образования (Обеспечение деятельности(оказание услуг) подведомственных учреждений</t>
  </si>
  <si>
    <t>1005893</t>
  </si>
  <si>
    <t>МЦП "Развития физической культуры и спорта г.о.Нальчик на 2012-2015г.г."</t>
  </si>
  <si>
    <t>Профилактика наркомании и токсикомании на территории г.о.Нальчик на 2011-2013гг.</t>
  </si>
  <si>
    <t>2015 год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</si>
  <si>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резтате деятельности казенных учреждений</t>
  </si>
  <si>
    <t>7950001</t>
  </si>
  <si>
    <t>Долгосрочная целевая программа "Профессиональная подготовка, переподготовка и повышение квалификации муниципальных служащих Местной администрации г.о.Нальчик 2013-2015г.г."</t>
  </si>
  <si>
    <t>Текущий финансовый год</t>
  </si>
  <si>
    <t>Прогноз</t>
  </si>
  <si>
    <t>Приложение №2</t>
  </si>
  <si>
    <t>к среднесрочному финансовому плану</t>
  </si>
  <si>
    <t xml:space="preserve"> городского округа Нальчик на 2013-2015 годы</t>
  </si>
  <si>
    <t>ОБЪЕМЫ БЮДЖЕТНЫХ АССИГНОВАНИЙ ПО ГЛАВНЫМ РАСПОРЯДИТЕЛЯМ БЮДЖЕТНЫХ СРЕДСТВ,РАЗДЕЛАМ,ПОДРАЗДЕЛАМ,ЦЕЛЕВЫМ СТАТЬЯМ И ВИДАМ РАСХОДОВ КЛАССИФИКАЦИИ РАСХОДОВ БЮДЖЕТА</t>
  </si>
  <si>
    <t>Субсидии бюджетным учреждениям на винансовое обеспечение государственного залания на оказание государственных услуг (выполнение работ)</t>
  </si>
  <si>
    <t>101 0293</t>
  </si>
  <si>
    <t>102 0293</t>
  </si>
  <si>
    <t>103 0293</t>
  </si>
  <si>
    <t>104 0293</t>
  </si>
  <si>
    <t xml:space="preserve">Комплектование книжных  фондов библиотек муниципальных образований государственных городов Мрсквы и Санкт-Петербурга </t>
  </si>
  <si>
    <t>4400200</t>
  </si>
  <si>
    <t>4409900</t>
  </si>
  <si>
    <t>4529900</t>
  </si>
  <si>
    <t>0700500</t>
  </si>
  <si>
    <t xml:space="preserve">Резервные фрнды местных администрации </t>
  </si>
  <si>
    <t>622</t>
  </si>
  <si>
    <t>Субсидии автономным учреждениям на иные цели</t>
  </si>
  <si>
    <t>422</t>
  </si>
  <si>
    <t>Бюджетные инвестиции в объекты государственной собственности государственным унитарным предприятиям, основанным на праве хозяйственного ведения</t>
  </si>
  <si>
    <t>3510500</t>
  </si>
  <si>
    <t>Мероприятия в  области коммунального хозяйства</t>
  </si>
  <si>
    <t>630</t>
  </si>
  <si>
    <t>Субсидии некомерческим организация (за исключением государственных учреждений)</t>
  </si>
  <si>
    <t>4219901</t>
  </si>
  <si>
    <t>Мероприятия в области коммунального хозяйства</t>
  </si>
  <si>
    <t>Муниципальная целевая программа "Реформирование и модернизация ЖКХ-комплекса г.о.Нальчик на 2011-2015годы"</t>
  </si>
  <si>
    <t>Иные выплаты персоналу, за исключением фоонда оплаты труда</t>
  </si>
  <si>
    <t>Фонды оплаты труда и страховые взносы</t>
  </si>
  <si>
    <t>Исполнение судебных актов Российской Федерации и мировых соглашений по возмещению вреда, причиненного в результате незаконных действий(бездействия) органов государственной власти либо должностных лиц этих органов, а также в результате деятельности казенных учреждений</t>
  </si>
  <si>
    <t xml:space="preserve">1008993 </t>
  </si>
  <si>
    <t>Учреждения,обеспечивающие предоставления услуг в сфере образования (обеспечение деятельности (оказание услуг) подведомственных учреждений)</t>
  </si>
  <si>
    <t xml:space="preserve">Образование </t>
  </si>
  <si>
    <t xml:space="preserve"> </t>
  </si>
  <si>
    <t>Уплата налога на имущество организаций  и земельного налога</t>
  </si>
  <si>
    <t>Защита населений и территорий от последствий чрезвычайных ситуаций природного и техногенного характера, гражданская оборона</t>
  </si>
  <si>
    <t>Капитальный ремонт государственного жилищного фонда субъектов Российской Федерации и муниципального жилищного фонда</t>
  </si>
  <si>
    <t xml:space="preserve">Капитальный ремонт государственного жилищного фонда субъектов Российской Федерации и муниципального жилищного фонда </t>
  </si>
  <si>
    <t xml:space="preserve">Субсидии юридическим лицам (кроме государственных учреждений) и физическим лицам - производителям товаров, работ, услуг
</t>
  </si>
  <si>
    <t>Центральный аппарат (заработная плата работникам отделов по делам несовершеннолетних)</t>
  </si>
  <si>
    <t xml:space="preserve">СОВЕТ МЕСТНОГО САМОУПРАВЛЕНИЯ ГОРОДСКОГО ОКРУГА НАЛЬЧИК </t>
  </si>
  <si>
    <t>УПРАВЛЕНИЕ КУЛЬТУРЫ  МЕСТНОЙ АДМИНИСТРАЦИИ ГОРОДСКОГО ОКРУГА НАЛЬЧИК</t>
  </si>
  <si>
    <t>Уплата налога на имущество организаций и земельного налога</t>
  </si>
  <si>
    <t>Муниципальная целевая программа "Финансово-хозяйственное развитие МУП "НальчикАвтобусТранс" в 2012-2014 годах"</t>
  </si>
  <si>
    <t xml:space="preserve">                             Заместитель Главы</t>
  </si>
  <si>
    <t xml:space="preserve">Субсидии юридическим лицам (кроме государственных
учреждений) и физическим лицам - производителям товаров, работ, услуг
</t>
  </si>
  <si>
    <t xml:space="preserve">Субсидии автономным учреждениям на финансовое
обеспечение государственного (муниципального) задания на оказание государственных услуг (выполнение работ)
</t>
  </si>
  <si>
    <t>МЦП "Разивтие физической культуры и спорта г.о.Нальчик на 2012-2015 годы"</t>
  </si>
  <si>
    <t>Центральный аппарат (заработная плата работникам отделов по опеке и попечительству)</t>
  </si>
  <si>
    <t xml:space="preserve">                     руководитель Департамента финансов                                                                                                                                                                                       М.Ф.Кучукова</t>
  </si>
  <si>
    <t xml:space="preserve">       местной администрации городского округа Нальчик-</t>
  </si>
  <si>
    <t>(в тыс.рублях)</t>
  </si>
  <si>
    <t>Выплаты приемной семье на содержание подопечных детей (средства республиканского бюджета)</t>
  </si>
  <si>
    <t xml:space="preserve">Субсидии юридическим лицам (кроме государственных учреждений) и физическим лицам - производителям товаров,работ, услуг
</t>
  </si>
  <si>
    <t>Государственная  регистрация актов гражданского состояния</t>
  </si>
  <si>
    <t>001 1380</t>
  </si>
  <si>
    <t>431 0100</t>
  </si>
  <si>
    <t>795 8840</t>
  </si>
  <si>
    <t>Учреждения по обеспечению хозяйственного обслуживания</t>
  </si>
  <si>
    <t>093 0000</t>
  </si>
  <si>
    <t>093 9993</t>
  </si>
  <si>
    <t>436 1893</t>
  </si>
  <si>
    <t>БЮДЖЕТНЫХ АССИГНОВАНИЙ НА РЕАЛИЗАЦИЮ МУНИЦИПАЛЬНЫХ ЦЕЛЕВЫХ ПРОГРАММ НА ПЛАНОВЫЙ ПЕРИОД 2015 и 2016  ГОДОВ</t>
  </si>
  <si>
    <t>ИСТОЧНИКИ ФИНАНСИРОВАНИЯ ДЕФИЦИТА МЕСТНОГО БЮДЖЕТА                           НА 2014 ГОД</t>
  </si>
  <si>
    <t>ПРОГРАММА МУНИЦИПАЛЬНЫХ ВНУТРЕННИХ ЗАИМСТВОВАНИЙ НА 2014 ГОД  И ПЛАНОВЫЙ ПЕРИОД 2015 - 2016 ГОДОВ</t>
  </si>
  <si>
    <t>ИСТОЧНИКИ ФИНАНСИРОВАНИЯ ДЕФИЦИТА МЕСТНОГО БЮДЖЕТА НА ПЛАНОВЫЙ ПЕРИОД 2015 И 2016 ГОДОВ</t>
  </si>
  <si>
    <t>435 9900</t>
  </si>
  <si>
    <t>ВЕДОМСТВЕННАЯ СТРУКТУРА РАСХОДОВ                                                                                                                                                                         МЕСТНОГО БЮДЖЕТА НА ПЛАНОВЫЙ ПЕРИОД 2015 И 2016 ГОДОВ</t>
  </si>
  <si>
    <t>2016 год</t>
  </si>
  <si>
    <t>БЮДЖЕТНЫХ АССИГНОВАНИЙ НА ПЛАНОВЫЙ ПЕРИОД 2015 И 2016 ГОДОВ ПО РАЗДЕЛАМ, ПОДРАЗДЕЛАМ, ЦЕЛЕВЫМ СТАТЬЯМ И ВИДАМ РАСХОДОВ КЛАССИФИКАЦИИ РАСХОДОВ МЕСТНОГО БЮДЖЕТА</t>
  </si>
  <si>
    <t>Приложение № 4</t>
  </si>
  <si>
    <t xml:space="preserve">            Приложение № 6</t>
  </si>
  <si>
    <t xml:space="preserve">           Приложение № 8</t>
  </si>
  <si>
    <t xml:space="preserve">                                                              Приложение № 9</t>
  </si>
  <si>
    <t>Приложение №10</t>
  </si>
  <si>
    <t>Приложение № 11</t>
  </si>
  <si>
    <t xml:space="preserve">795 8840 </t>
  </si>
  <si>
    <t>Программа "Обеспечение жильем молодых семей в г.о.Нальчик на 2011-2015 годы"</t>
  </si>
  <si>
    <t>Физическая культура</t>
  </si>
  <si>
    <t>420 0000</t>
  </si>
  <si>
    <t>420 9900</t>
  </si>
  <si>
    <t>420 9901</t>
  </si>
  <si>
    <t>420 9902</t>
  </si>
  <si>
    <t>Дошкольное образование</t>
  </si>
  <si>
    <t>Детские дошкольные учреждения</t>
  </si>
  <si>
    <t>Муниципальная целевая программа "Профилактика правонарушений и укрепление общественного порядка и общественной безопасности в городском округе  Нальчик на 2014-2016 годы"</t>
  </si>
  <si>
    <t>0</t>
  </si>
  <si>
    <t>795 0100</t>
  </si>
  <si>
    <t>Заместитель Главы городского округа Нальчик</t>
  </si>
  <si>
    <t>В.Б.Назранов</t>
  </si>
  <si>
    <t>Муниципальная целевая программа «Доступная среда  городского округа Нальчик на 2011-2016 годы»</t>
  </si>
  <si>
    <t>Заместитель Главы  городского округа Нальчик</t>
  </si>
  <si>
    <t xml:space="preserve">Заместитель Главы городского округа Нальчик- </t>
  </si>
  <si>
    <t xml:space="preserve">                         Заместитель Главы  городского округа Нальчик                                          </t>
  </si>
  <si>
    <t>В.Б. Назранов</t>
  </si>
  <si>
    <t xml:space="preserve">к решению Совета местного самоуправления </t>
  </si>
  <si>
    <t xml:space="preserve"> городского округа Нальчик "О местном  бюджете </t>
  </si>
  <si>
    <t>городского округа Нальчик на 2014 год и на</t>
  </si>
  <si>
    <t xml:space="preserve">Заместитель Главы городского округа Нальчик                                       </t>
  </si>
  <si>
    <t xml:space="preserve">                        Заместитель Главы городского округа Нальчик                                           </t>
  </si>
  <si>
    <t>Муниципальная целевая программа «Профилактика  наркомании и токсикомании  в городском округе Нальчик на 2014-2016 годы»</t>
  </si>
  <si>
    <t>Муниципальная целевая программа «Профилактика терроризма и экстремизма в городском округе Нальчик на 2014-2016 годы»</t>
  </si>
  <si>
    <t>Муниципальная целевая программа «Профилактика терроризма и экстремизма в городском округе Нальчик на 2014-2016 годы» (средства местного бюджета)</t>
  </si>
  <si>
    <t>Муниципальная целевая программа «Противодействие коррупции в городском округе Нальчик на 2014-2016 годы»</t>
  </si>
  <si>
    <t>Муниципальная целевая программа «Профилактика правонарушений  в городском округе Нальчик на 2014-2016 годы»</t>
  </si>
  <si>
    <t>Муниципальная целевая программа "Доступная среда в городском округе Нальчик на 2014-2015 годы" (средства местного бюджета)</t>
  </si>
  <si>
    <t>Муниципальная целевая программа "Доступная среда в городском  округе Нальчик на 2014-2015 годы" (средства местного бюджета)</t>
  </si>
  <si>
    <t>Профессиональная подготовка, переподготовка и повышение квалификации</t>
  </si>
  <si>
    <t>№164 от "27" декабря 2013г.</t>
  </si>
  <si>
    <t>Долгосрочная целевая программа "Профессиональная подготовка, переподготовка и повышение квалификации муниципальных служащих Местной администрации городского округа Нальчик 2013-2015г.г."</t>
  </si>
  <si>
    <t>Подпрограмма "Обеспечение жильем молодых семей в городском округе Нальчик на 2011-2015 годы"</t>
  </si>
  <si>
    <t>Муниципальная целевая программа "Реформирование и модернизация ЖКХ-комплекса городского округа Нальчик на 2011-2015 годы"</t>
  </si>
  <si>
    <t>плановый период 2015 и 2016 годов"</t>
  </si>
  <si>
    <t>ДЕПАРТАМЕНТ  АРХИТЕКТУРЫ И ГРАДОСТРОИТЕЛЬСТВА</t>
  </si>
  <si>
    <t>ДЕПАРТАМЕНТ ПО УПРАВЛЕНИЮ ГОРОДСКИМ ИМУЩЕСТВОМ, ТОРГОВЛИ И ПОДДЕРЖКИ ПРЕДПРИНИМАТЕЛЬСТВА  МЕСТНОЙ АДМИНИСТРАЦИИ ГОРОДСКОГО ОКРУГА НАЛЬЧИК</t>
  </si>
  <si>
    <t>Муниципальная целевая программа "Профилактика терроризма и экстремизма в городском округе   Нальчик на 2014-2016 годы"</t>
  </si>
  <si>
    <t xml:space="preserve">к решению Совета местного самоуправления городского округа Нальчик </t>
  </si>
  <si>
    <t xml:space="preserve">  "О местном  бюджете городского округа Нальчик на 2014 год </t>
  </si>
  <si>
    <t xml:space="preserve">  и на плановый период 2015 и 2016 годов"</t>
  </si>
  <si>
    <t>Учебно-методические кабинеты 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 (обеспечение деятельности (оказание услуг)  подведомственных учреждений</t>
  </si>
  <si>
    <t>МЦП "Развития физической культуры и спорта городского округа Нальчик на 2012-2015 годы"</t>
  </si>
  <si>
    <t>Муниципальная целевая программа "Модернизация школьных и дошкольных учреждений городского округа Нальчик на 2012-2015 годы (средства местного бюджета)</t>
  </si>
  <si>
    <t>Городская целевая программа "Молодежь городского округа  Нальчик на 2012-2015 годы"</t>
  </si>
  <si>
    <t>к решению Совета местного самоуправления городского округа Нальчик</t>
  </si>
  <si>
    <t xml:space="preserve">  "О местном  бюджете городского округа Нальчик на 2014 год и на</t>
  </si>
  <si>
    <t>к решению Совета местного самоуправления  городского округа Нальчик</t>
  </si>
  <si>
    <t xml:space="preserve"> "О местном  бюджете городского округа Нальчик на 2014 год и на</t>
  </si>
  <si>
    <t>2016  год</t>
  </si>
  <si>
    <t>Субвенции бюджетам муниципальных образований на выплату единовременного пособия при всех формах устройства детей, лишенных родительского попечения, в семью в рамках подпрограммы "Защита прав детей, государственная поддержка детей-сирот и детей с особыми нуждами" государственной программы Кабардино-Балкарской Республики "Развитие образования в Кабардино-Балкарской Республике"</t>
  </si>
  <si>
    <t>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 в рамках подпрограммы "Защита прав детей, государственная поддержка детей-сирот и детей с особыми нуждами" государственной программы Кабардино-Балкарской Республики "Развитие образования в Кабардино-Балкарской Республике"</t>
  </si>
  <si>
    <t>Государственная регистрация актов гражданского состояния в рамках непрограммных направлений деятельности органов власти (казенных учреждений) Кабардино-Балкарской Республики</t>
  </si>
  <si>
    <t>00</t>
  </si>
  <si>
    <t>Иные бюджетные ассигнования</t>
  </si>
  <si>
    <t>800</t>
  </si>
  <si>
    <t>Защита населения и территории от чрезвычайных ситуаций природного и техногенного характера, гражданская оборона</t>
  </si>
  <si>
    <t>ОТДЕЛ ЗАПИСИ АКТОВ ГРАЖДАНСКОГО СОСТОЯНИЯ ГОРОДСКОГО ОКРУГА НАЛЬЧИК</t>
  </si>
  <si>
    <t>МКУ "УПРАВЛЕНИЕ КУЛЬТУРЫ МЕСТНОЙ АДМИНИСТРАЦИИ ГОРОДСКОГО ОКРУГА НАЛЬЧИК"</t>
  </si>
  <si>
    <t>МКУ "ДЕПАРТАМЕНТ ФИНАНСОВ МЕСТНОЙ АДМИНИСТРАЦИИ  ГОРОДСКОГО ОКРУГА НАЛЬЧИК"</t>
  </si>
  <si>
    <t>МКУ "ДЕПАРТАМЕНТ ОБРАЗОВАНИЯ МЕСТНОЙ АДМИНИСТРАЦИИ  ГОРОДСКОГО ОКРУГА НАЛЬЧИК"</t>
  </si>
  <si>
    <t>200</t>
  </si>
  <si>
    <t>Закупка товаров, работ и услуг
для государственных (муниципальных) нужд</t>
  </si>
  <si>
    <t>Социальное обеспечение и иные выплаты населению</t>
  </si>
  <si>
    <t>300</t>
  </si>
  <si>
    <t>400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</si>
  <si>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</si>
  <si>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</si>
  <si>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600</t>
  </si>
  <si>
    <t>Предоставление субсидий бюджетным, автономным учреждениям и иным некоммерческим организациям</t>
  </si>
  <si>
    <t>Содержание отделов опеки и попечительства, за счет субвенции из республиканского бюджета Кабардино-Балкарской Республики, в рамках подпрограммы "Защита прав детей, государственная поддержка детей-сирот и детей с особыми нуждами" государственной программы Кабардино-Балкарской Республики "Развитие образования в Кабардино-Балкарской Республике"</t>
  </si>
  <si>
    <t>Субвенции бюджетам муниципальных образований на содержание комиссий по делам несовершеннолетних и защите их  прав в рамках подпрограммы "Защита прав детей, государственная поддержка детей-сирот и детей с особыми нуждами" государственной программы Кабардино-Балкарской Республики "Развитие образования в Кабардино-Балкарской Республике"</t>
  </si>
  <si>
    <t xml:space="preserve">Осуществление выплат Почетным гражданам городского округа Нальчик в рамках непрограммного направления деятельности "Развитие пенсионной системы" </t>
  </si>
  <si>
    <t>Обеспечение пожарной безопасности</t>
  </si>
  <si>
    <t>Осуществление доплат к пенсиям муниципальных служащих городского округа Нальчик в рамках непрограммного направления деятельности "Развитие пенсионной системы"</t>
  </si>
  <si>
    <t>Расходы на обеспечение функционирования Главы местной администрации городского округа Нальчик в рамках непрограммных направлений деятельности органов местного самоуправления городского округа Нальчик и муниципальных учреждений городского округа Нальчик</t>
  </si>
  <si>
    <t>Расходы на обеспечение функционирования аппарата Местной администрации городского округа Нальчик, ее территориальных органов, в рамках непрограммных направлений деятельности органов местного самоуправления городского округа Нальчик и муниципальных учреждений городского округа Нальчик</t>
  </si>
  <si>
    <t>Расходы на обеспечение функционирования Контрольно-счетной палаты городского округа Нальчик в рамках непрограммных направлений деятельности органов местного самоуправления городского округа Нальчик и муниципальных учреждений городского округа Нальчик</t>
  </si>
  <si>
    <t>Расходы на обеспечение функционирования Совета местного самоуправления городского округа Нальчик в рамках непрограммных направлений деятельности органов местного самоуправления городского округа Нальчик и муниципальных учреждений городского округа Нальчик</t>
  </si>
  <si>
    <t>Непрограммные расходы органов местного самоуправления городского округа Нальчик и муниципальных учреждений городского округа Нальчик</t>
  </si>
  <si>
    <t xml:space="preserve">ВЕДОМСТВЕННАЯ СТРУКТУРА РАСХОДОВ </t>
  </si>
  <si>
    <t>2</t>
  </si>
  <si>
    <t xml:space="preserve">РАСПРЕДЕЛЕНИЕ БЮДЖЕТНЫХ АССИГНОВАНИЙ </t>
  </si>
  <si>
    <t>ПО ЦЕЛЕВЫМ СТАТЬЯМ (МУНИЦИПАЛЬНЫМ ПРОГРАММАМ</t>
  </si>
  <si>
    <t>7810090019</t>
  </si>
  <si>
    <t>7820090019</t>
  </si>
  <si>
    <t>3810599998</t>
  </si>
  <si>
    <t>3810690019</t>
  </si>
  <si>
    <t>71000Н0730</t>
  </si>
  <si>
    <t>1010390019</t>
  </si>
  <si>
    <t>1060099998</t>
  </si>
  <si>
    <t>24Б9964470</t>
  </si>
  <si>
    <t>2420192058</t>
  </si>
  <si>
    <t>15Г0099998</t>
  </si>
  <si>
    <t>0520180050</t>
  </si>
  <si>
    <t>0520180060</t>
  </si>
  <si>
    <t>0520299998</t>
  </si>
  <si>
    <t>0599980010</t>
  </si>
  <si>
    <t>0599980030</t>
  </si>
  <si>
    <t>0599980040</t>
  </si>
  <si>
    <t>0599999999</t>
  </si>
  <si>
    <t>02401М5160</t>
  </si>
  <si>
    <t>02401М9400</t>
  </si>
  <si>
    <t>0240180070</t>
  </si>
  <si>
    <t>1120596486</t>
  </si>
  <si>
    <t>71000Н0600</t>
  </si>
  <si>
    <t>9990070110</t>
  </si>
  <si>
    <t>9390090019</t>
  </si>
  <si>
    <t>9990059300</t>
  </si>
  <si>
    <t>7710092794</t>
  </si>
  <si>
    <t>Взнос в Ассоциацию "Совет муниципальных образований КБР"</t>
  </si>
  <si>
    <t>9690090019</t>
  </si>
  <si>
    <t>15Г0090019</t>
  </si>
  <si>
    <t>0240190059</t>
  </si>
  <si>
    <t>1110190059</t>
  </si>
  <si>
    <t>1110290059</t>
  </si>
  <si>
    <t>1120190059</t>
  </si>
  <si>
    <t>1140190019</t>
  </si>
  <si>
    <t>2320290059</t>
  </si>
  <si>
    <t>3810399998</t>
  </si>
  <si>
    <t xml:space="preserve">Капитальные вложения в объекты капитального строительства муниципальной собственности </t>
  </si>
  <si>
    <t>0220170120</t>
  </si>
  <si>
    <t>0220190059</t>
  </si>
  <si>
    <t>0220290059</t>
  </si>
  <si>
    <t>0220270120</t>
  </si>
  <si>
    <t>0220275190</t>
  </si>
  <si>
    <t>0250390019</t>
  </si>
  <si>
    <t>99900F2600</t>
  </si>
  <si>
    <t>9990070090</t>
  </si>
  <si>
    <t>9990070100</t>
  </si>
  <si>
    <t>0240596057</t>
  </si>
  <si>
    <t>1310196246</t>
  </si>
  <si>
    <t>1340290019</t>
  </si>
  <si>
    <t>3920490019</t>
  </si>
  <si>
    <t>3920520540</t>
  </si>
  <si>
    <t>0220000000</t>
  </si>
  <si>
    <t>0200000000</t>
  </si>
  <si>
    <t>0240190000</t>
  </si>
  <si>
    <t>0240590000</t>
  </si>
  <si>
    <t>0250000000</t>
  </si>
  <si>
    <t>0400000000</t>
  </si>
  <si>
    <t>0410000000</t>
  </si>
  <si>
    <t>0500000000</t>
  </si>
  <si>
    <t>0530000000</t>
  </si>
  <si>
    <t>0530190019</t>
  </si>
  <si>
    <t>0590000000</t>
  </si>
  <si>
    <t>1000000000</t>
  </si>
  <si>
    <t>1010000000</t>
  </si>
  <si>
    <t>1060000000</t>
  </si>
  <si>
    <t>1100000000</t>
  </si>
  <si>
    <t>1110000000</t>
  </si>
  <si>
    <t>1120000000</t>
  </si>
  <si>
    <t>1140000000</t>
  </si>
  <si>
    <t>1300000000</t>
  </si>
  <si>
    <t>1310000000</t>
  </si>
  <si>
    <t>1340000000</t>
  </si>
  <si>
    <t>1500000000</t>
  </si>
  <si>
    <t>15Г0000000</t>
  </si>
  <si>
    <t>2300000000</t>
  </si>
  <si>
    <t>2400000000</t>
  </si>
  <si>
    <t>2420000000</t>
  </si>
  <si>
    <t>24Б0000000</t>
  </si>
  <si>
    <t>3800000000</t>
  </si>
  <si>
    <t>3900000000</t>
  </si>
  <si>
    <t>3920500000</t>
  </si>
  <si>
    <t>3920400000</t>
  </si>
  <si>
    <t>9390000000</t>
  </si>
  <si>
    <t>9690000000</t>
  </si>
  <si>
    <t>Расходы на обеспечение функций органов местного самоуправления</t>
  </si>
  <si>
    <t>Обеспечение функционирования аппарата  местной администрации</t>
  </si>
  <si>
    <t>Субвенции бюджетам муниципальных образований на содержание отделов опеки и попечительства в рамках подпрограммы "Защита прав детей, государственная поддержка детей-сирот и детей с особыми нуждами" государственной программы Кабардино-Балкарской Республики "Развитие образования в Кабардино-Балкарской Республике"</t>
  </si>
  <si>
    <t>15Г0090000</t>
  </si>
  <si>
    <t>Муниципальная программа городского округа Нальчик "Профилактика наркомании и токсикомании в городском округе Нальчик на 2017 - 2021 годы"</t>
  </si>
  <si>
    <t xml:space="preserve">Муниципальная программа городского округа Нальчик "Профилактика терроризма и экстремизма в городском округе Нальчик на 2017 - 2021 годы" </t>
  </si>
  <si>
    <t xml:space="preserve">Муниципальная программа городского округа Нальчик "Профилактика правонарушений в городском округе Нальчик на 2017 - 2021 годы" </t>
  </si>
  <si>
    <t>0530190000</t>
  </si>
  <si>
    <t>Реализация мероприятий программы</t>
  </si>
  <si>
    <t>1540100000</t>
  </si>
  <si>
    <t>Начальное профессиональное образование</t>
  </si>
  <si>
    <t>0220300000</t>
  </si>
  <si>
    <t>0220370880</t>
  </si>
  <si>
    <t>1540199998</t>
  </si>
  <si>
    <t>Субсидии бюджетам городских поселений на софинансирование капитальных вложений в объекты муниципальной собственности в сфере дорожного хозяйства</t>
  </si>
  <si>
    <t>2420473010</t>
  </si>
  <si>
    <t>0240000000</t>
  </si>
  <si>
    <t>Реализация мероприятий муниципальной программы "Профилактика правонарушений в городском округе Нальчик на 2017 - 2021 годы"</t>
  </si>
  <si>
    <t>Субвенции бюджетам муниципальных образований на 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(полного) общего образования, а также дополнительного  образования в общеобразовательных учреждениях, в рамках подпрограммы "Содействие развитию дошкольного и общего образования" государственной программы Кабардино-Балкарской Республики  "Развитие образования в Кабардино-Балкарской Республике"</t>
  </si>
  <si>
    <t>Пополнение фондов школьных библиотек образовательных учреждений, за счет субвенции из республиканского бюджета Кабардино-Балкарской Республики,  в рамках подпрограммы "Содействие развитию дошкольного и общего образования" государственной программы Кабардино-Балкарской Республики "Развитие образования в Кабардино-Балкарской Республике"</t>
  </si>
  <si>
    <t>Реализация мероприятий муниципальной программы "Профилактика наркомании и токсикомании в городском округе Нальчик на 2017 - 2021 годы"</t>
  </si>
  <si>
    <t>Реализация мероприятий муниципальной программы "Профилактика терроризма и экстремизма в городском округе Нальчик на 2017 - 2021 годы"</t>
  </si>
  <si>
    <t>Субсидии бюджетам городских округов на софинансирование капитальных вложений в объекты муниципальной собственности в сфере дорожного хозяйства</t>
  </si>
  <si>
    <t>Муниципальная программа городского округа Нальчик "Доступная среда в городском округе Нальчик на 2016 - 2020 годы"</t>
  </si>
  <si>
    <t>УСЛОВНО УТВЕРЖДЕННЫЕ РАСХОДЫ</t>
  </si>
  <si>
    <t>Условно утвержденные расходы</t>
  </si>
  <si>
    <t>000</t>
  </si>
  <si>
    <t>99</t>
  </si>
  <si>
    <t>9999999999</t>
  </si>
  <si>
    <t>4</t>
  </si>
  <si>
    <t>ПО РАЗДЕЛАМ, ПОДРАЗДЕЛАМ, ЦЕЛЕВЫМ СТАТЬЯМ И ВИДАМ РАСХОДОВ</t>
  </si>
  <si>
    <t xml:space="preserve"> (МУНИЦИПАЛЬНЫМ ПРОГРАММАМ ГОРОДСКОГО ОКРУГА НАЛЬЧИК НЕПРОГРАММНЫМ</t>
  </si>
  <si>
    <t xml:space="preserve">ГОРОДСКОГО ОКРУГА НАЛЬЧИК И НЕПРОГРАММНЫМ НАПРАВЛЕНИЯМ </t>
  </si>
  <si>
    <t>ДЕЯТЕЛЬНОСТИ), ГРУППАМ ВИДОВ РАСХОДОВ КЛАССИФИКАЦИИ РАСХОДОВ</t>
  </si>
  <si>
    <t xml:space="preserve">ПО РАЗДЕЛАМ И ПОДРАЗДЕЛАМ КЛАССИФИКАЦИИ РАСХОДОВ МЕСТНОГО БЮЖЕТА </t>
  </si>
  <si>
    <t>Приложение № 5</t>
  </si>
  <si>
    <t>Муниципальная программа городского округа Нальчик "Территориальное развитие городского округа Нальчик на 2016 - 2020 годы"</t>
  </si>
  <si>
    <t>Вид рас-хода</t>
  </si>
  <si>
    <t>2020 год</t>
  </si>
  <si>
    <t>Муниципальная программа "Профилактика правонарушений в городском округе Нальчик на 2017 - 2021 годы"</t>
  </si>
  <si>
    <t>02401М9000</t>
  </si>
  <si>
    <t>Пожарная безопасность</t>
  </si>
  <si>
    <t>0510370510</t>
  </si>
  <si>
    <t>Приобретение учебников, учебных и учебно-наглядных пособий, технических средств обучения, расходных материалов и хозяйственных нужд (кроме расходов на содержание зданий и помещений), за счет субвенции из республиканского бюджета Кабардино-Балкарской Республики,  в рамках подпрограммы "Содействие развитию дошкольного и общего образования" государственной программы Кабардино-Балкарской Республики "Развитие образования в Кабардино-Балкарской Республике"</t>
  </si>
  <si>
    <t>9990071210</t>
  </si>
  <si>
    <t>Осуществление переданных муниципальным районам и городским округам в соответствии со статьей 2 Закона Кабардино-Балкарской Республики от 14 апреля 2015 года № 16-РЗ "О наделении органов местного самоуправления муниципальных районов и городских округов отдельными государственными полномочиями по созданию, организации деятельности административных комиссий и по определению перечня должностных лиц органов местного самоуправления, уполномоченных составлять протоколы об административных правонарушениях" полномочий Кабардино-Балкарской Республики по созданию и организации деятельности административных комиссий</t>
  </si>
  <si>
    <t>Закупка товаров, работ и услуг для государственных (муниципальных) нужд</t>
  </si>
  <si>
    <t>Иные межбюджетные трансферты на организацию отдыха детей в учреждениях с дневным пребыванием детей в каникулярное время</t>
  </si>
  <si>
    <t>0240272020</t>
  </si>
  <si>
    <t>1320290059</t>
  </si>
  <si>
    <t>Развитие системы подготовки спортивного резерва</t>
  </si>
  <si>
    <t>1320000000</t>
  </si>
  <si>
    <t>Дополнительное образование</t>
  </si>
  <si>
    <t>05101S9602</t>
  </si>
  <si>
    <t>Обеспечение мероприятий по переселению граждан из аварийного жилищного фонда</t>
  </si>
  <si>
    <t>Бюджетные инвестиции в объекты капитального строительства государственной (муниципальной) собственности</t>
  </si>
  <si>
    <t>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</si>
  <si>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Подпрограмма "Создание условий для обеспечения качественными услугами жилищно-коммунального хозяйства"</t>
  </si>
  <si>
    <t>0520000000</t>
  </si>
  <si>
    <t>9990070190</t>
  </si>
  <si>
    <t>Субвенции бюджетам муниципальных образований на выплату ежемесячного вознаграждения приемным родителям</t>
  </si>
  <si>
    <t>0410299999</t>
  </si>
  <si>
    <t>Реализация мероприятий подпрограммы "Совершенствование системы градостроительного регулирования на территории городского округа Нальчик на 2016-2020 годы" муниципальной программы "Территориальное развитие городского округа Нальчик на 2016 - 2020 годы"</t>
  </si>
  <si>
    <t xml:space="preserve">Расходы на обеспечение деятельности (оказание услуг) муниципальных учреждений в рамках подпрограммы "Обеспечение реализации муниципальной программы" муниципальной программы "Территориальное развитие городского округа Нальчик на 2016 - 2020 годы" </t>
  </si>
  <si>
    <t>Реализация мероприятий по соответствующим направлениям расходов подпрограммы "Повышение эффективности управления муниципальным имуществом и земельными ресурсами" муниципальной программы городского округа Нальчик "Управление муниципальным имуществом в городском округе Нальчик на 2016 - 2020 годы"</t>
  </si>
  <si>
    <t>Реализация мероприятий, направленных на развитие учительского потенциала и совершенствование учительского корпуса, стимулирование развития профессиональных компетентностей педагогических кадров" подпрограммы "Развитие системы дошкольного и общего образования" муниципальной программы городского округа Нальчик "Развитие образования в городском округе Нальчик на 2016 - 2020 годы"</t>
  </si>
  <si>
    <t xml:space="preserve"> НАПРАВЛЕНИЯМ ДЕЯТЕЛЬНОСТИ), ГРУППАМ ВИДОВ РАСХОДОВ</t>
  </si>
  <si>
    <t xml:space="preserve"> КЛАССИФИКАЦИИ РАСХОДОВ МЕСТНОГО БЮЖЕТА </t>
  </si>
  <si>
    <t>Реализация подпрограммных мероприятий муниципальной целевой программы "Реформирование и модернизация коммунального комплекса городского округа Нальчика Кабардино-Балкарской Республики на 2015-2020 годы"</t>
  </si>
  <si>
    <t>Субсидии из республиканского бюджета Кабардино-Балкарской Республики бюджетам муниципальных образований на поддержку муниципальных программ по обеспечению благоустроенными жилыми помещениями семей, проживающих в многоквартирных домах коммунального типа</t>
  </si>
  <si>
    <t>10Г0299998</t>
  </si>
  <si>
    <t>ИСТОЧНИКИ ФИНАНСИРОВАНИЯ ДЕФИЦИТА МЕСТНОГО БЮДЖЕТА</t>
  </si>
  <si>
    <t>(тыс. рублей)</t>
  </si>
  <si>
    <t>Наименование источников финансирования дефицита местного бюджета</t>
  </si>
  <si>
    <t xml:space="preserve">Получение кредитов от кредитных организаций бюджетом городского округа в валюте Российской Федерации     </t>
  </si>
  <si>
    <t xml:space="preserve">Погашение бюджетом городского округа кредитов от кредитных организаций в валюте Российской Федерации    </t>
  </si>
  <si>
    <t>000 01 03 01 00 04 0000 710</t>
  </si>
  <si>
    <t xml:space="preserve">Получение бюджетных кредитов от других бюджетов бюджетной системы Российской Федерации бюджетом городского округа в валюте Российской Федерации    </t>
  </si>
  <si>
    <t>000 01 03 01 00 04 0000 810</t>
  </si>
  <si>
    <t xml:space="preserve">Погашение бюджетом городского округа бюджетных кредитов от других бюджетов бюджетной системы Российской Федерации в валюте Российской Федерации   </t>
  </si>
  <si>
    <t>Реализация мероприятий муниципальной программы городского округа Нальчик "Доступная среда в городском округе Нальчик на 2016 - 2020 годы"</t>
  </si>
  <si>
    <t>2021 год</t>
  </si>
  <si>
    <t>Коды бюджетной классификации Российской Федерации</t>
  </si>
  <si>
    <t>МКУ "УПРАВЛЕНИЕ ПО ФИЗИЧЕСКОЙ КУЛЬТУРЕ, СПОРТУ И ДЕЛАМ МОЛОДЕЖИ МЕСТНОЙ АДМИНИСТРАЦИИ ГОРОДСКОГО ОКРУГА НАЛЬЧИК"</t>
  </si>
  <si>
    <t>МКУ "ДЕПАРТАМЕНТ ГОРОДСКОГО  ИМУЩЕСТВА И ЗЕМЕЛЬНЫХ ОТНОШЕНИЙ МЕСТНОЙ АДМИНИСТРАЦИИ ГОРОДСКОГО ОКРУГА НАЛЬЧИК"</t>
  </si>
  <si>
    <t>МКУ "ДЕПАРТАМЕНТ  АРХИТЕКТУРЫ И ГРАДОСТРОИТЕЛЬСТВА МЕСТНОЙ АДМИНИСТРАЦИИ ГОРОДСКОГО ОКРУГА НАЛЬЧИК"</t>
  </si>
  <si>
    <t>Код главного распорядителя бюджетных средств</t>
  </si>
  <si>
    <t>Муниципальная программа "Построение и развитие аппаратно-программного комплекса "Безопасный город" в городском округе Нальчик на 2018 - 2021 годы</t>
  </si>
  <si>
    <t>Группа видов расходов</t>
  </si>
  <si>
    <t>1540000000</t>
  </si>
  <si>
    <t>Субсидии на мероприятия государственной программы Российской Федерации "Доступная среда" на 2011 - 2020 годы</t>
  </si>
  <si>
    <t>04102L0270</t>
  </si>
  <si>
    <t>2420473000</t>
  </si>
  <si>
    <t>Субсидии на создание в общеобразовательных организациях, расположенных в сельской местности, условий для занятия физической культурой и спортом</t>
  </si>
  <si>
    <t>Муниципальное казённое учреждение "Управление жилищно-коммунального хозяйства и благоустройства - служба заказчика" Местной администрации городского округа Нальчик</t>
  </si>
  <si>
    <t>022Е250970</t>
  </si>
  <si>
    <t>0220271270</t>
  </si>
  <si>
    <t>Иные межбюджетные трансферты на финансовое обеспечение привлечения обучающихся к труду</t>
  </si>
  <si>
    <t>Резервный фонд Местной администрации городского округа Нальчик в рамках подпрограммы "Нормативно-методическое обеспечение организации бюджетного процесса" муниципальной программы городского округа Нальчик "Управление муниципальными финансами в городском округе Нальчик"</t>
  </si>
  <si>
    <t>Расходы на обеспечение деятельности (оказание услуг) муниципальных органов (учреждений) в рамках подпрограммы "Обеспечение реализации муниципальной программы" муниципальной программы городского округа Нальчик "Управление муниципальными финансами в городском округе Нальчик"</t>
  </si>
  <si>
    <t>Подпрограмма "Обеспечение реализации муниципальной программы" муниципальной программы городского округа Нальчик "Управление муниципальными финансами в городском округе Нальчик"</t>
  </si>
  <si>
    <t xml:space="preserve">Муниципальная программа городского округа Нальчик "Управление муниципальными финансами в городском округе Нальчик" </t>
  </si>
  <si>
    <t>Приложение № 6</t>
  </si>
  <si>
    <t xml:space="preserve">ГЛАВНЫЕ АДМИНИСТРАТОРЫ ДОХОДОВ </t>
  </si>
  <si>
    <t>МЕСТНОГО БЮДЖЕТА - ОРГАНЫ МЕСТНОГО САМОУПРАВЛЕНИЯ</t>
  </si>
  <si>
    <t xml:space="preserve"> ГОРОДСКОГО ОКРУГА НАЛЬЧИК</t>
  </si>
  <si>
    <t xml:space="preserve">Наименование главного администратора поступлений и вида доходов местного бюджета </t>
  </si>
  <si>
    <t>главного админи- стратора доходов</t>
  </si>
  <si>
    <t xml:space="preserve">доходов местного бюджета </t>
  </si>
  <si>
    <t>Местная администрация городского округа Нальчик</t>
  </si>
  <si>
    <t>1 08 07150 01 1000 110</t>
  </si>
  <si>
    <t>Государственная пошлина за выдачу разрешения на установку рекламной конструкции</t>
  </si>
  <si>
    <t xml:space="preserve">1 08 07150 01 4000 110  </t>
  </si>
  <si>
    <t xml:space="preserve">Государственная пошлина за выдачу разрешения на установку рекламной конструкции                                                                                            </t>
  </si>
  <si>
    <t>1 13 01994 04 0000 130</t>
  </si>
  <si>
    <t xml:space="preserve">Прочие доходы от оказания платных услуг (работ) получателям средств  бюджетов городских округов </t>
  </si>
  <si>
    <t>1 13 02994 04 0000 130</t>
  </si>
  <si>
    <t xml:space="preserve">Прочие доходы от компенсации затрат  бюджетов городских округов </t>
  </si>
  <si>
    <t xml:space="preserve">1 17 01040 04 0000 180 </t>
  </si>
  <si>
    <t xml:space="preserve">Невыясненные поступления, зачисляемые в бюджеты городских округов </t>
  </si>
  <si>
    <t>1 17 05040 04 0000 180</t>
  </si>
  <si>
    <t>Прочие неналоговые доходы бюджетов городских округов</t>
  </si>
  <si>
    <t xml:space="preserve">2 02 25497 04 0000 150 </t>
  </si>
  <si>
    <t>Субсидии бюджетам городских округов на реализацию мероприятий по обеспечению жильем молодых семей</t>
  </si>
  <si>
    <t xml:space="preserve">2 02 30024 04 7009 150 </t>
  </si>
  <si>
    <t xml:space="preserve">Субвенции бюджетам городских округов на выполнение передаваемых полномочий субъектов Российской Федерации (ежемесячные денежные выплаты опекунам (попечителям), приемным родителям на содержание детей-сирот и детей, оставшихся без попечения родителей, а также на оплату труда приемных родителей) </t>
  </si>
  <si>
    <t xml:space="preserve">2 02 30024 04 7010 150 </t>
  </si>
  <si>
    <t>Субвенции бюджетам городских округов на выполнение передаваемых полномочий субъектов Российской Федерации (содержание территориальных отделов опеки и попечительства)</t>
  </si>
  <si>
    <t xml:space="preserve">2 02 30024 04 7011 150 </t>
  </si>
  <si>
    <t>Субвенции бюджетам городских округов на выполнение передаваемых полномочий субъектов Российской Федерации (осуществление полномочий по образованию и организации деятельности комиссий по делам несовершеннолетних и защите их прав)</t>
  </si>
  <si>
    <t xml:space="preserve">2 02 30024 04 7019 150 </t>
  </si>
  <si>
    <t>Субвенции бюджетам городских округов на выполнение передаваемых полномочий субъектов Российской Федерации (ежемесячные денежные выплаты на оплату труда приемных родителей)</t>
  </si>
  <si>
    <t xml:space="preserve">2 02 30024 04 7121 150 </t>
  </si>
  <si>
    <t>Субвенции бюджетам городских округов на выполнение передаваемых полномочий субъектов Российской Федерации (создание и организация деятельности административных комиссий)</t>
  </si>
  <si>
    <t>2 02 30027 04 0000 150</t>
  </si>
  <si>
    <t>Субвенции бюджетам городских округов на содержание ребёнка в семье опекуна и приёмной семье, а также вознаграждение, причитающееся приёмному родителю</t>
  </si>
  <si>
    <t>2 02 35260 04 F260 150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</si>
  <si>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</si>
  <si>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2 19 25020 04 0000 150</t>
  </si>
  <si>
    <r>
      <rPr>
        <sz val="12"/>
        <rFont val="Times New Roman"/>
        <family val="1"/>
        <charset val="204"/>
      </rPr>
      <t xml:space="preserve">Возврат остатков субсидий на мероприятия подпрограммы "Обеспечение жильем молодых семей" федеральной целевой программы "Жилище" на 2015 - 2020 годы из бюджетов городских округов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</t>
    </r>
  </si>
  <si>
    <t xml:space="preserve">2 19 25064 04 0000 150 </t>
  </si>
  <si>
    <r>
      <rPr>
        <sz val="12"/>
        <rFont val="Times New Roman"/>
        <family val="1"/>
        <charset val="204"/>
      </rPr>
      <t xml:space="preserve">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городских округов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</t>
    </r>
  </si>
  <si>
    <t>2 19 60010 04 0000 150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</si>
  <si>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городских округов                                                                                                  </t>
  </si>
  <si>
    <t>Контрольно-счетная палата городского округа Нальчик</t>
  </si>
  <si>
    <t>Муниципальное казенное учреждение "Управление жилищно-коммунального хозяйства и благоустройства-служба заказчика" Местной администрации городского округа Нальчик"</t>
  </si>
  <si>
    <t>1 17 14020 04 0000 150</t>
  </si>
  <si>
    <t>Средства самообложения граждан, зачисляемые в бюджеты городских округов</t>
  </si>
  <si>
    <t>2 02 20077 04 7051 150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</si>
  <si>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(поддержка муниципальных программ по обеспечению благоустроенными жилыми помещениями семей, проживающих в многоквартирных домах коммунального типа)</t>
  </si>
  <si>
    <t>2 02 20077 04 7126 150</t>
  </si>
  <si>
    <t>Субсидии бюджетам муниципальных образований на  реализацию муниципальных программ в области жилищно-коммунального хозяйства</t>
  </si>
  <si>
    <t>2 02 20216 04 0000 150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</si>
  <si>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</si>
  <si>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2 02 25555 04 0000 150</t>
  </si>
  <si>
    <t>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</si>
  <si>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2 02 27112 04 0000 150 </t>
  </si>
  <si>
    <t>Субсидии бюджетам городских округов на софинансирование капитальных вложений в объекты муниципальной собственности</t>
  </si>
  <si>
    <t xml:space="preserve">2 02 29999 04 7126 150 </t>
  </si>
  <si>
    <t>Прочие субсидии бюджетам городских округов</t>
  </si>
  <si>
    <t>Отдел ЗАГС городского округа Нальчик</t>
  </si>
  <si>
    <t>Невыясненные поступления, зачисляемые в бюджеты городских округов</t>
  </si>
  <si>
    <t>2 02 35930 04 0000 150</t>
  </si>
  <si>
    <t>Субвенции бюджетам городских округов на государственную регистрацию актов гражданского состояния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</si>
  <si>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</si>
  <si>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МКУ "Управление культуры Местной администрации городского округа Нальчик"</t>
  </si>
  <si>
    <t>Прочие доходы от оказания платных услуг (работ) получателями средств бюджетов городских округов</t>
  </si>
  <si>
    <t>Прочие доходы от компенсации затрат бюджетов городских округов</t>
  </si>
  <si>
    <t>2 01 04020 04 0000 150</t>
  </si>
  <si>
    <t>Поступления от денежных пожертвований, предоставляемых нерезидентами получателям средств бюджетов городских округов</t>
  </si>
  <si>
    <t>2 02 25466 04 0000 150</t>
  </si>
  <si>
    <t>Субсидии бюджетам городских округов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</si>
  <si>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2 02 25519 04 0000 150</t>
  </si>
  <si>
    <t>Субсидия бюджетам городских округов на поддержку отрасли культуры (госпрограмма РФ "Развитие культуры и туризма" на 2013-2020 годы")</t>
  </si>
  <si>
    <t>Субсидия бюджетам городских округов на поддержку отрасли культуры</t>
  </si>
  <si>
    <t>2 03 04020 04 0000 150</t>
  </si>
  <si>
    <t>Поступления от денежных пожертвований, предоставляемых государственными (муниципальными) организациями получателям средств бюджетов городских округов</t>
  </si>
  <si>
    <t>2 04 04020 04 0000 150</t>
  </si>
  <si>
    <t>Поступления от денежных пожертвований, предоставляемых негосударственными организациями получателям средств бюджетов городских округов</t>
  </si>
  <si>
    <t>2 07 04020 04 0000 150</t>
  </si>
  <si>
    <t>Поступления от денежных пожертвований, предоставляемых физическими лицами получателям средств бюджетов городских округов</t>
  </si>
  <si>
    <t>МКУ "Департамент городского имущества и земельных отношений Местной администрации городского округа Нальчик"</t>
  </si>
  <si>
    <t>1 11 01040 04 0000 120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</si>
  <si>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</si>
  <si>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</si>
  <si>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</si>
  <si>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1 11 05024 04 0000 120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</si>
  <si>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</si>
  <si>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1 11 05034 04 0000 120 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</si>
  <si>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</si>
  <si>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1 11 07014 04 0000 120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</si>
  <si>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 </t>
  </si>
  <si>
    <t>1 14 02042 04 0000 410</t>
  </si>
  <si>
    <t>Доходы от 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 автономных учреждений), в части реализации основных средств по указанному имуществу</t>
  </si>
  <si>
    <t>1 14 02042 04 0000 440</t>
  </si>
  <si>
    <t>Доходы от 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</si>
  <si>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</si>
  <si>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</si>
  <si>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</si>
  <si>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</si>
  <si>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2 02 20299 04 0000 150</t>
  </si>
  <si>
    <t>Субсидии бюджетам городских округов на обеспечение мероприятий по переселению граждан из аварийного жилищного 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</si>
  <si>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2 02 20302 04 0000 150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</si>
  <si>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</si>
  <si>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МКУ "Департамент образования Местной администрации городского округа Нальчик"</t>
  </si>
  <si>
    <t>1 13 01994 04 0701 130</t>
  </si>
  <si>
    <t xml:space="preserve">Прочие доходы от оказания платных услуг (работ) получателями средств бюджетов городских округов (дошкольное образование) </t>
  </si>
  <si>
    <t>1 13 01994 04 0702 130</t>
  </si>
  <si>
    <t>Прочие доходы от оказания платных услуг (работ) получателями средств бюджетов городских округов (среднее образование)</t>
  </si>
  <si>
    <t>1 13 01994 04 0703 130</t>
  </si>
  <si>
    <t>Прочие доходы от оказания платных услуг (работ) получателями средств бюджетов городских округов (дополнительное образование)</t>
  </si>
  <si>
    <t xml:space="preserve">1 17 05040 04 0000 180 </t>
  </si>
  <si>
    <t xml:space="preserve">2 02 25027 04 0000 150 </t>
  </si>
  <si>
    <t>Субсидии бюджетам городских округов на реализацию мероприятий государственной программы Российской Федерации "Доступная среда на 2011-2020 годы"</t>
  </si>
  <si>
    <t xml:space="preserve">2 02 25097 04 0000 150 </t>
  </si>
  <si>
    <t>Субсидии бюджетам городских округов на создание в общеобразовательных организациях, расположенных в сельской местности, условий для занятия физической культурой и спортом</t>
  </si>
  <si>
    <t>2 02 30024 04 0701 150</t>
  </si>
  <si>
    <t>Субвенции бюджетам городских округов на выполнение передаваемых полномочий субъектов Российской Федерации  (дошкольное образование)</t>
  </si>
  <si>
    <t>2 02 30024 04 0702 150</t>
  </si>
  <si>
    <t>2 02 30024 04 7088 150</t>
  </si>
  <si>
    <t>Субвенции бюджетам городских округов на дополнительное профессиональное образование педагогических работников общего и дошкольного образования</t>
  </si>
  <si>
    <t>2 02 30024 04 7519 150</t>
  </si>
  <si>
    <t>Субвенции бюджетам городских округов на выполнение передаваемых полномочий субъектов Российской Федерации (расходы на учебники и учебные, учебно-наглядные пособия, технические средства обучения, расходные материалы и хозяйственные нужды)</t>
  </si>
  <si>
    <t xml:space="preserve">2 02 49999 04 7127 150 </t>
  </si>
  <si>
    <t>Прочие межбюджетные трансферты, передаваемые бюджетам городских округов на финансовое обеспечение привлечения обучающихся к труду</t>
  </si>
  <si>
    <t>2 02 49999 04 7202 150</t>
  </si>
  <si>
    <t>Прочие межбюджетные трансферты, передаваемые бюджетам городских округов на финансовое обеспечение мероприятий, связанных с организацией отдыха детей в каникулярное время</t>
  </si>
  <si>
    <t>2 07 04020 04 0701 150</t>
  </si>
  <si>
    <t>Поступления от денежных пожертвований, предоставляемых физическими лицами получателям средств бюджетов городских округов (дошкольное образование)</t>
  </si>
  <si>
    <t>2 07 04020 04 0702 150</t>
  </si>
  <si>
    <t>Поступления от денежных пожертвований, предоставляемых физическими лицами получателям средств бюджетов городских округов (общее образование)</t>
  </si>
  <si>
    <t>МКУ "Управление по физической культуре, спорту и делам молодежи Местной администрации городского округа Нальчик"</t>
  </si>
  <si>
    <t>МКУ "Департамент финансов Местной администрации городского округа Нальчик"</t>
  </si>
  <si>
    <t>1 17 01040 04 0000 180</t>
  </si>
  <si>
    <t>2 02 15001 04 0034 150</t>
  </si>
  <si>
    <t xml:space="preserve">Дотации бюджетам городских округов на выравнивание бюджетной обеспеченности </t>
  </si>
  <si>
    <t>2 08 04000 04 0000 150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</si>
  <si>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</si>
  <si>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ПРОГНОЗ</t>
  </si>
  <si>
    <t>ПОСТУПЛЕНИЯ ДОХОДОВ В МЕСТНЫЙ БЮДЖЕТ</t>
  </si>
  <si>
    <t>( в тыс. руб.)</t>
  </si>
  <si>
    <t>Код доходов бюджетной классификации Российской Федерации</t>
  </si>
  <si>
    <t>Наименование кода доходов</t>
  </si>
  <si>
    <t>1 00 00000 00 0000 000</t>
  </si>
  <si>
    <t>Налоговые и неналоговые доходы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</si>
  <si>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</si>
  <si>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</si>
  <si>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</si>
  <si>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</si>
  <si>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в том числе:</t>
  </si>
  <si>
    <t>1 03 02230 01 0000 110                                  1 03 02240 01 0000 110                      1 03 02250 01 0000 110                                      1 03 02260 01 0000 110</t>
  </si>
  <si>
    <t>Акцизы на нефтепродукты, производимым на территории Российской Федерации</t>
  </si>
  <si>
    <t>1 05 02010 02 0000 110</t>
  </si>
  <si>
    <t>Единый налог на вмененный доход для отдельных видов деятельности</t>
  </si>
  <si>
    <t>1 05 03010 01 0000 110</t>
  </si>
  <si>
    <t>Единый сельскохозяйственный налог</t>
  </si>
  <si>
    <t>1 05 04010 02 0000 110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</si>
  <si>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</si>
  <si>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1 06 01020 04 0000 110 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</si>
  <si>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</si>
  <si>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1 06 06032 04 0000 110</t>
  </si>
  <si>
    <t>Земельный налог с организаций, обладающих земельным участком, расположенным в границах городских округов</t>
  </si>
  <si>
    <t xml:space="preserve">1 06 06042 04 0000 110 </t>
  </si>
  <si>
    <t>Земельный налог с физических лиц, обладающих земельным участком, расположенным в границах городских округов</t>
  </si>
  <si>
    <t>Иные налоговые и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</si>
  <si>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</si>
  <si>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</si>
  <si>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</si>
  <si>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</si>
  <si>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</si>
  <si>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</si>
  <si>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</si>
  <si>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</si>
  <si>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</si>
  <si>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 </t>
  </si>
  <si>
    <t>2 02 40000 00 0000 150</t>
  </si>
  <si>
    <t>Иные межбюджетные трансферты</t>
  </si>
  <si>
    <t>Безвозмездные поступления от негосударственных организаций в бюджеты городских округов</t>
  </si>
  <si>
    <t>И Т О Г О     Д О Х О Д О В:</t>
  </si>
  <si>
    <t>Расходы на обеспечение функций государственных органов, в том числе территориальных органов</t>
  </si>
  <si>
    <t>05113L4970</t>
  </si>
  <si>
    <t>052F255550</t>
  </si>
  <si>
    <t>052F200000</t>
  </si>
  <si>
    <t>Мероприятия в рамках Регионального проекта "Формирование комфортной городской среды" Реализация программ формирования современной городской среды</t>
  </si>
  <si>
    <t>242R153930</t>
  </si>
  <si>
    <t>Подпрограмма "Реализация мероприятий федеральной целевой программы «Развитие физической культуры и спорта в Российской Федерации на 2016 - 2020 годы»" Мероприятия в рамках регионального проекта "Спорт - норма жизни" Реализация федеральной целевой программы "Развитие физической культуры и спорта в Российской Федерации на 2016 - 2020 годы"</t>
  </si>
  <si>
    <t>136P500000</t>
  </si>
  <si>
    <t>136P554950</t>
  </si>
  <si>
    <t>15Г00L5110</t>
  </si>
  <si>
    <t>Подпрограмма "Градостроительная деятельность" Субсидии бюджетам муниципальных образований на проведение комплексных кадастровых работ</t>
  </si>
  <si>
    <t>1310190059</t>
  </si>
  <si>
    <t>Расходы на обеспечение деятельности Муниципальная программа "Развитие физической культуры и спорта" Подпрограмма "Развитие физической культуры и массового спорта" Основное мероприятие "Физическое воспитание и обеспечение организации и проведения физкультурных мероприятий и массовых спортивных мероприятий"</t>
  </si>
  <si>
    <t>Массовый  спорт</t>
  </si>
  <si>
    <t>Расходы на обеспечение функций Муниципальная программа "Развитие физической культуры и спорта" Подпрограмма "Управление развитием отрасли физической культуры и спорта" Основное мероприятие "Реализация государственной политики в сфере физической культуры и спорта"</t>
  </si>
  <si>
    <t>Реализация мероприятий подпрограммы Муниципальная программа "Обеспечение доступным и комфортным жильем и коммунальными услугами"</t>
  </si>
  <si>
    <t>Муниципальная программа "Экономическое развитие и инновационная экономика"</t>
  </si>
  <si>
    <t>Массовый спорт</t>
  </si>
  <si>
    <t>Мероприятия в рамках регионального проекта "Спорт - норма жизни"</t>
  </si>
  <si>
    <t>3950292788</t>
  </si>
  <si>
    <t>700</t>
  </si>
  <si>
    <t>2 02 25495 04 0000 150</t>
  </si>
  <si>
    <t>Субсидии бюджетам городских округов на финансовое обеспечение мероприятий федеральной целевой программы «Развитие физической культуры и спорта в Российской Федерации на 2016-2020 годы»</t>
  </si>
  <si>
    <t>2 02 45393 04 0000 150</t>
  </si>
  <si>
    <t>Межбюджетные трансферты, передаваемые бюджетам городских округов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</si>
  <si>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2 02 25511 04 0000 150</t>
  </si>
  <si>
    <t>Субсидии бюджетам городских округов на проведение комплексных кадастровых работ</t>
  </si>
  <si>
    <t>Приложение № 8</t>
  </si>
  <si>
    <t>Подпрограмма "Дорожное хозяйство "Основное мероприятие " Капитальный ремонт, ремонт и содержание автомобильных дорог общего пользования местного значения" Содержание автомобильных дорог общего пользования местного значения</t>
  </si>
  <si>
    <t>Приложение № 9</t>
  </si>
  <si>
    <t>Расходы на обеспечение деятельности муниципальной программы"Развитие физической культуры и спорта" подпрограммы "Развитие физической культуры и массового спорта" Основное мероприятие "Физическое воспитание и обеспечение организации и проведения физкультурных мероприятий и массовых спортивных мероприятий"</t>
  </si>
  <si>
    <t xml:space="preserve">Процентные платежи по муниципальному долгу </t>
  </si>
  <si>
    <t>Муниципальная программа "Профилактика терроризма и экстремизма в городском округе Нальчик на 2017 - 2021 годы"</t>
  </si>
  <si>
    <t>Реализация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услуг, приобретение учебников и учебных пособий, средств обучения, игр, игрушек)</t>
  </si>
  <si>
    <t>0240170120</t>
  </si>
  <si>
    <t>Обеспечение мероприятий по переселению граждан из аварийного жилищного фонда (средства местного бюджета)</t>
  </si>
  <si>
    <t>0510109602</t>
  </si>
  <si>
    <t>9990070000</t>
  </si>
  <si>
    <t>Осуществление переданных муниципальным районам и городским округам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</si>
  <si>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1120199999</t>
  </si>
  <si>
    <t>Модернизация театров юного зрителя и театров кукол в рамках национального проекта "Культура" регионального проекта "Культурная среда"</t>
  </si>
  <si>
    <t>Обеспечение мероприятий по переселению граждан из аварийного жилищного фонда, в том числе переселение граждан из аварийного жилищного фонда с учетом необходимости развития малоэтажного жилищного строительства</t>
  </si>
  <si>
    <t>Муниципальная программа "Противодействие коррупции  в городском округе Нальчик"</t>
  </si>
  <si>
    <t>Реализация мероприятий в рамках подпрограммы "Развитие системы пассажирских перевозок транспортом общего пользования в городском округе Нальчик" муниципальной программы городского округа Нальчик "Развитие транспортной системы в городском округе Нальчик"</t>
  </si>
  <si>
    <t xml:space="preserve">Подпрограмма "Развитие системы пассажирских перевозок транспортом общественного пользования в городском округе Нальчик" муниципальной программы городского округа Нальчик "Развитие транспортной системы в городском округе Нальчик" </t>
  </si>
  <si>
    <t>Муниципальная программа городского округа Нальчик "Управление муниципальным имуществом в городском округе Нальчик"</t>
  </si>
  <si>
    <t>Субсидии на мероприятия государственной программы КБР "Доступная среда в КБР"</t>
  </si>
  <si>
    <t>Муниципальная программа городского округа Нальчик "Развитие культуры в городском округе Нальчик"</t>
  </si>
  <si>
    <t>Подпрограмма "Искусство" муниципальной программы городского округа Нальчик "Развитие культуры в городском округе Нальчик"</t>
  </si>
  <si>
    <t>Повышение доступности и качества библиотечных услуг в рамках подпрограммы "Наследие" муниципальной программы городского округа Нальчик "Развитие культуры в городском округе Нальчик"</t>
  </si>
  <si>
    <t>Расходы на обеспечение деятельности (оказание услуг) муниципальных учреждений в рамках подпрограммы "Искусство" муниципальной программы городского округа Нальчик "Развитие культуры в городском округе Нальчик"</t>
  </si>
  <si>
    <t>Расходы на организацию и проведение мероприятий в сфере культуры в рамках подпрограммы "Искусство" муниципальной программы городского округа Нальчик "Развитие культуры в городском округе Нальчик"</t>
  </si>
  <si>
    <t>0220175190</t>
  </si>
  <si>
    <t>Муниципальная целевая программа "Обеспечение жильем молодых семей в  городском округе Нальчик"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</si>
  <si>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 xml:space="preserve">Подпрограмма "Обеспечение организации гражданской обороны, предупреждение и ликвидация последствий чрезвычайных ситуаций природного и техногенного характера" муниципальной программы "Защита населения и территории городского
округа Нальчик от чрезвычайных ситуаций, обеспечение пожарной безопасности и безопасности людей на водных объектах"
</t>
  </si>
  <si>
    <t>Расходы на обеспечение деятельности (оказание услуг) муниципальных учреждений в рамках подпрограммы "Обеспечение организации гражданской обороны, предупреждения и ликвидации последствий чрезвычайных ситуаций природного и техногенного характера" муниципальной программы городского округа Нальчик "Защита населения и территорий городского округа Нальчик от чрезвычайных ситуации, обеспечение пожарной безопасности и безопасности людей на водных объектах"</t>
  </si>
  <si>
    <t>Подпрограмма "Пожарная безопасность" муниципальной программы "Защита населения и территории городского округа Нальчик от чрезвычайных ситуаций, обеспечение пожарной безопасности
и безопасности людей на водных объектах"</t>
  </si>
  <si>
    <t>Реализация мероприятий подпрограммы "Пожарная безопасность" муниципальной программы "Защита населения и территории городского округа Нальчик от чрезвычайных ситуаций, обеспечение пожарной безопасности
и безопасности людей на водных объектах"</t>
  </si>
  <si>
    <t>Муниципальная программа городского округа Нальчик "Территориальное развитие городского округа Нальчик"</t>
  </si>
  <si>
    <t>Реализация мероприятий подпрограммы "Совершенствование системы градостроительного регулирования на территории городского округа Нальчик" муниципальной программы "Территориальное развитие городского округа Нальчик"</t>
  </si>
  <si>
    <t>Расходы на освещение улиц в рамках подпрограммы "Благоустройство городских территорий"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</si>
  <si>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Расходы местного бюджета на улучшение жилищных условий отдельных категорий граждан в рамках муниципальной целевой программы "Обеспечение жильем молодых семей в  городском округе Нальчик"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</si>
  <si>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Содержание и капитальный ремонт муниципального жилищного фонда в рамках подпрограммы "Развитие муниципального жилищного фонда"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</si>
  <si>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Подпрограмма  "Дорожное хозяйство" муниципальной программы городского округа Нальчик "Развитие транспортной системы в городском округе Нальчик"</t>
  </si>
  <si>
    <t>Содержание автомобильных дорог общего пользования муниципального значения в рамках подпрограммы "Дорожное хозяйство" муниципальной программы городского округа Нальчик "Развитие транспортной системы в городском округе Нальчик"</t>
  </si>
  <si>
    <t>Расходы на озеленение территорий в рамках подпрограммы "Благоустройство городских территорий"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</si>
  <si>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Расходы на организацию и содержание мест захоронения в рамках подпрограммы "Благоустройство городских территорий"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</si>
  <si>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Расходы на реализацию прочих мероприятий по благоустройству территорий в рамках подпрограммы "Благоустройство городских территорий"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</si>
  <si>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Расходы на обеспечение деятельности (оказание услуг) муниципальных учреждений в рамках подпрограммы "Обеспечение реализации муниципальной программы" муниципальной программы "Обеспечение доступным и комфортным жильем и коммунальными услугами жителей городского округа Нальчик"</t>
  </si>
  <si>
    <t xml:space="preserve">Расходы на обеспечение деятельности (оказание услуг) муниципальных учреждений в рамках подпрограммы "Обеспечение реализации муниципальной программы" муниципальной программы "Территориальное развитие городского округа Нальчик" </t>
  </si>
  <si>
    <t>Расходы на обеспечение деятельности (оказание услуг) муниципальных учреждений в рамках подпрограммы "Развитие системы дополнительного образования детей" муниципальной программы городского округа Нальчик "Развитие образования в городском округе Нальчик"</t>
  </si>
  <si>
    <t>Обеспечение сохранности и использования объектов культурного наследия в рамках подпрограммы "Наследие" муниципальной программы городского округа Нальчик "Развитие культуры в городском округе Нальчик"</t>
  </si>
  <si>
    <t>Расходы на обеспечение деятельности (оказание услуг) муниципальных органов (учреждений) в рамках подпрограммы "Обеспечение условий реализации муниципальной программы" муниципальной программы "Развитие культуры в городском округе Нальчик"</t>
  </si>
  <si>
    <t>Расходы на обеспечение деятельности (оказание услуг) муниципальных учреждений в рамках реализации муниципальной программы "Реализация информационной политики и развитие печатных средств массовой информации городского округа Нальчик"</t>
  </si>
  <si>
    <t>Реализация мероприятий по соответствующим направлениям расходов подпрограммы "Повышение эффективности управления муниципальным имуществом и земельными ресурсами" муниципальной программы городского округа Нальчик "Управление муниципальным имуществом в городском округе Нальчик"</t>
  </si>
  <si>
    <t>Расходы на обеспечение деятельности (оказание услуг) муниципальных органов (учреждений) в рамках подпрограммы "Обеспечение реализации муниципальной программы" муниципальной программы "Управление муниципальным имуществом в городском округе Нальчик"</t>
  </si>
  <si>
    <t>Взносы региональному оператору на капитальный ремонт общего имущества в многоквартирных домах в рамках подпрограммы "Развитие муниципального жилищного фонда"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</si>
  <si>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Расходы на обеспечение деятельности (оказание услуг) муниципальных учреждений в рамках подпрограммы "Развитие системы дошкольного и общего образования" муниципальной программы городского округа Нальчик "Развитие образования в городском округе Нальчик"</t>
  </si>
  <si>
    <t>Реализация мероприятий, направленных на развитие учительского потенциала и совершенствование учительского корпуса, стимулирование развития профессиональных компетентностей педагогических кадров" подпрограммы "Развитие системы дошкольного и общего образования" муниципальной программы городского округа Нальчик "Развитие образования в городском округе Нальчик"</t>
  </si>
  <si>
    <t xml:space="preserve">Расходы на обеспечение деятельности (оказание услуг) муниципальных органов (учреждений) в рамках подпрограммы "Обеспечение реализации муниципальной программы" муниципальной программы "Развитие образования в городском округе Нальчик" </t>
  </si>
  <si>
    <t>Мероприятия по патриотическому воспитанию граждан Российской Федерации в рамках подпрограммы "Вовлечение молодежи в социальную практику" муниципальной программы городского округа Нальчик "Развитие образования в городском округе Нальчик"</t>
  </si>
  <si>
    <t>Реализация мероприятий, включенных в Календарный план физкультурных мероприятий и спортивных мероприятий городского округа Нальчик в рамках подпрограммы "Развитие физической культуры и массового спорта" муниципальной программы городского округа Нальчик "Развитие физической культуры и спорта в городском округе Нальчик"</t>
  </si>
  <si>
    <t>Расходы на обеспечение деятельности (оказание услуг) муниципальных органов (учреждений) в рамках подпрограммы "Обеспечение реализации муниципальной программы" муниципальной программы городского округа Нальчик "Развитие физической культуры и спорта в городском округе Нальчик"</t>
  </si>
  <si>
    <t>Расходы на обеспечение деятельности (оказание услуг) муниципальных органов (учреждений) в рамках подпрограммы "Обеспечение реализации муниципальной программы" муниципальной программы городского округа Нальчик "Управление муниципальным имуществом в городском округе Нальчик"</t>
  </si>
  <si>
    <t>Реализация иных направлений расходов в рамках подпрограммы "Пожарная безопасность" муниципальной программы городского округа Нальчик "Защита населения и территорий городского округа Нальчик от чрезвычайных ситуации, обеспечение пожарной безопасности и безопасности людей на водных объектах"</t>
  </si>
  <si>
    <t>Муниципальная программа городского округа Нальчик "Обеспечение доступным и комфортным жильем и коммунальными услугами жителей городского округа Нальчик"</t>
  </si>
  <si>
    <t>Муниципальная программа городского округа Нальчик "Развитие образования в городском округе Нальчик"</t>
  </si>
  <si>
    <t>Подпрограмма "Развитие системы дошкольного и общего образования" муниципальной программы городского округа Нальчик "Развитие образования в городском округе Нальчик"</t>
  </si>
  <si>
    <t>Подпрограмма "Развитие системы дополнительного образования" муниципальной программы городского округа Нальчик "Развитие образования в городском округе Нальчик"</t>
  </si>
  <si>
    <t>Подпрограмма "Вовлечение молодежи в социальную практику" муниципальной программы городского округа Нальчик "Развитие образования в городском округе Нальчик"</t>
  </si>
  <si>
    <t xml:space="preserve">Подпрограмма "Обеспечение реализации муниципальной программы" муниципальной программы "Развитие образования в городском округе Нальчик" </t>
  </si>
  <si>
    <t>Подпрограмма "Развитие муниципального жилищного фонда"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</si>
  <si>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Подпрограмма "Обеспечение реализации муниципальной программы"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</si>
  <si>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Подпрограмма "Благоустройство городских территорий"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</si>
  <si>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Подпрограмма "Обеспечение организации гражданской обороны, предупреждения и ликвидации последствий чрезвычайных ситуаций природного и техногенного характера" муниципальной программы городского округа Нальчик "Защита населения и территорий городского округа Нальчик от чрезвычайных ситуации, обеспечение пожарной безопасности и безопасности людей на водных объектах"</t>
  </si>
  <si>
    <t>Подпрограмма "Пожарная безопасность" муниципальной программы городского округа Нальчик "Защита населения и территорий городского округа Нальчик от чрезвычайных ситуации, обеспечение пожарной безопасности и безопасности людей на водных объектах"</t>
  </si>
  <si>
    <t>Муниципальная программа городского округа Нальчик "Защита населения и территорий городского округа Нальчик от чрезвычайных ситуации, обеспечение пожарной безопасности и безопасности людей на водных объектах"</t>
  </si>
  <si>
    <t>Подпрограмма "Наследие" муниципальной программы городского округа Нальчик "Развитие культуры в городском округе Нальчик"</t>
  </si>
  <si>
    <t>Подпрограмма "Обеспечение реализации муниципальной программы" муниципальной программы городского округа Нальчик "Развитие культуры в городском округе Нальчик"</t>
  </si>
  <si>
    <t>Муниципальная программа городского округа Нальчик "Развитие физической культуры и спорта в городском округе Нальчик"</t>
  </si>
  <si>
    <t>Подпрограмма "Развитие физической культуры и массового спорта" муниципальной программы городского округа Нальчик "Развитие физической культуры и спорта в городском округе Нальчик"</t>
  </si>
  <si>
    <t>Подпрограмма "Обеспечение реализации муниципальной программы" муниципальной программы "Развитие физической культуры и спорта в городском округе Нальчик"</t>
  </si>
  <si>
    <t>Реализация мероприятий муниципальной программы "Противодействие коррупции  в городском округе Нальчик"</t>
  </si>
  <si>
    <t xml:space="preserve">Подпрограмма "Обеспечение реализации муниципальной программы" муниципальной программы "Территориальное развитие городского округа Нальчик" </t>
  </si>
  <si>
    <t>Муниципальная программа городского округа Нальчик "Реализация информационной политики и развитие печатных средств массовой информации городского округа Нальчик"</t>
  </si>
  <si>
    <t>Муниципальная программа городского округа Нальчик "Развитие транспортной системы в городском округе Нальчик"</t>
  </si>
  <si>
    <t>Подпрограмма "Дорожное хозяйство" муниципальной программы городского округа Нальчик "Развитие транспортной системы в городском округе Нальчик"</t>
  </si>
  <si>
    <t>2 02 30024 04 0703 150</t>
  </si>
  <si>
    <t>Субвенции бюджетам городских округов на выполнение передаваемых полномочий субъектов Российской Федерации  (дополнительное образование)</t>
  </si>
  <si>
    <t xml:space="preserve">ГЛАВНЫЕ АДМИНИСТРАТОРЫ ДОХОДОВ МЕСТНОГО БЮДЖЕТА - </t>
  </si>
  <si>
    <t xml:space="preserve">ТЕРРИТОРИАЛЬНЫЕ ОРГАНЫ ФЕДЕРАЛЬНЫХ ОРГАНОВ </t>
  </si>
  <si>
    <t xml:space="preserve">ИСПОЛНИТЕЛЬНОЙ ВЛАСТИ </t>
  </si>
  <si>
    <t xml:space="preserve">ПО КАБАРДИНО-БАЛКАРСКОЙ РЕСПУБЛИКЕ, </t>
  </si>
  <si>
    <t xml:space="preserve"> ОРГАНЫ ГОСУДАРСТВЕННОЙ ВЛАСТИ </t>
  </si>
  <si>
    <t>КАБАРДИНО-БАЛКАРСКОЙ РЕСПУБЛИКИ</t>
  </si>
  <si>
    <t>048</t>
  </si>
  <si>
    <t xml:space="preserve">Управление Федеральной службы по надзору в сфере природопользования по Кабардино-Балкарской Республике </t>
  </si>
  <si>
    <t>1 12 01010 01 2100 120</t>
  </si>
  <si>
    <t xml:space="preserve">Плата за выбросы загрязняющих веществ в атмосферный воздух стационарными объектами </t>
  </si>
  <si>
    <t>1 12 01010 01 6000 120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</si>
  <si>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</si>
  <si>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1 12 01030 01 2100 120</t>
  </si>
  <si>
    <t>1 12 01030 01 6000 120</t>
  </si>
  <si>
    <t>Плата за сбросы загрязняющих веществ в водные объекты</t>
  </si>
  <si>
    <t>1 12 01041 01 6000 120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</si>
  <si>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</si>
  <si>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1 12 01042 01 6000 120</t>
  </si>
  <si>
    <t>Плата за размещение твердых коммунальных отходов  (федеральные государственные органы, Банк России, органы управления государственными внебюджетными фондами Российской Федерации)</t>
  </si>
  <si>
    <t>1 12 01070 01 6000 120</t>
  </si>
  <si>
    <t xml:space="preserve">Плата за выбросы загрязняющих веществ, образующихся при сжигании на факельных установках и (или) рассеивании попутного нефтяного газа </t>
  </si>
  <si>
    <t>060</t>
  </si>
  <si>
    <t>Территориальный орган Федеральной службы по надзору в сфере здравоохранения по Кабардино-Балкарской Республике</t>
  </si>
  <si>
    <t>076</t>
  </si>
  <si>
    <t>Западно-Каспийское территориальное управление федерального агентства по рыболовству</t>
  </si>
  <si>
    <t>081</t>
  </si>
  <si>
    <t xml:space="preserve">Управление Федеральной службы по ветеринарному и фитосанитарному надзору по Кабардино-Балкарской Республике </t>
  </si>
  <si>
    <t xml:space="preserve">Управление Федерального казначейства по Кабардино-Балкарской Республике 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</si>
  <si>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</si>
  <si>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</si>
  <si>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</si>
  <si>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</si>
  <si>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</si>
  <si>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</si>
  <si>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</si>
  <si>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</si>
  <si>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106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</si>
  <si>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</si>
  <si>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 xml:space="preserve">Управление Федеральной службы по надзору в сфере защиты прав потребителей и благополучия человека по Кабардино-Балкарской Республике </t>
  </si>
  <si>
    <t>Федеральная таможенная служба (Северо-Кавказское таможенное управление)</t>
  </si>
  <si>
    <t>Федеральная служба государственной статистики</t>
  </si>
  <si>
    <t xml:space="preserve">Межрегиональное управление Федеральной службы по регулированию алкогольного рынка по Северо-Кавказскому Федеральному округу </t>
  </si>
  <si>
    <t>Федеральная служба войск Национальной гвардии Российской Федерации</t>
  </si>
  <si>
    <t xml:space="preserve">Управление Федеральной налоговой службы по Кабардино-Балкарской Республике </t>
  </si>
  <si>
    <t xml:space="preserve">1 01 02000 01 0000 110 </t>
  </si>
  <si>
    <t xml:space="preserve">1 05 02000 02 0000 110 </t>
  </si>
  <si>
    <t xml:space="preserve">1 05 03000 01 0000 110 </t>
  </si>
  <si>
    <t xml:space="preserve">1 05 04000 02 0000 110 </t>
  </si>
  <si>
    <t>Налог, взимаемый в связи с применением патентной системы налогообложения</t>
  </si>
  <si>
    <t>1 06 01020 04 0000 110</t>
  </si>
  <si>
    <t>Налог на  имущество физических лиц, взимаемый по ставкам, применяемым к объектам налогообложения, расположенным в границах городских округов</t>
  </si>
  <si>
    <t>1 06 06042 04 0000 110</t>
  </si>
  <si>
    <t xml:space="preserve">1 08 03010 01 0000 110 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</si>
  <si>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</t>
  </si>
  <si>
    <t>1 09 00000 00 0000 000</t>
  </si>
  <si>
    <t>Задолженность и перерасчеты по отмененным налогам, сборам и иным обязательным платежам</t>
  </si>
  <si>
    <t>Министерство внутренних дел по Кабардино-Балкарской Республике</t>
  </si>
  <si>
    <t xml:space="preserve">Управление Министерства юстиции Российской Федерации по Кабардино-Балкарской Республике </t>
  </si>
  <si>
    <t xml:space="preserve">Управление Федеральной службы государственной регистрации, кадастра и картографии по Кабардино-Балкарской Республике </t>
  </si>
  <si>
    <t>Управление Федеральной службы судебных приставов по Кабардино-Балкарской Республике</t>
  </si>
  <si>
    <t xml:space="preserve">Кавказское управление Федеральной службы по экологическому, технологическому и атомному надзору </t>
  </si>
  <si>
    <t>Министерство природных ресурсов и экологии Кабардино-Балкарской Республики</t>
  </si>
  <si>
    <t>Приложение № 7</t>
  </si>
  <si>
    <t>НА ОСУЩЕСТВЛЕНИЕ БЮДЖЕТНЫХ ИНВЕСТИЦИЙ В ОБЪЕКТЫ КАПИТАЛЬНОГО СТРОИТЕЛЬСТВА</t>
  </si>
  <si>
    <t>МУНИЦИПАЛЬНОЙ СОБСТВЕННОСТИ ГОРОДСКОГО ОКРУГА НАЛЬЧИК</t>
  </si>
  <si>
    <t>Наименование объекта</t>
  </si>
  <si>
    <t>Сумма </t>
  </si>
  <si>
    <t>Модернизация здания театра юного зрителя</t>
  </si>
  <si>
    <t>2019 год</t>
  </si>
  <si>
    <t>11403L5190</t>
  </si>
  <si>
    <t>0220175180</t>
  </si>
  <si>
    <t>Капитальные вложения в объекты государственной (муниципальной) собственности</t>
  </si>
  <si>
    <t>1 16 90040 04 0000 140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</si>
  <si>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</si>
  <si>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1 16 18040 04 0000 140</t>
  </si>
  <si>
    <t>Денежные взыскания (штрафы) за нарушение бюджетного законодательства (в части бюджетов городских округов)</t>
  </si>
  <si>
    <t>1 13 02994 04 0022 130</t>
  </si>
  <si>
    <t>1 16 46000 04 0000 140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</si>
  <si>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</si>
  <si>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Субвенции бюджетам городских округов на выполнение передаваемых полномочий субъектов Российской Федерации  по общему образованию</t>
  </si>
  <si>
    <t>2 02 30024 04 7518 150</t>
  </si>
  <si>
    <t>Субвенции бюджетам городских округов на выполнение передаваемых полномочий субъектов Российской Федерации в части расходов на приобретение учебных пособий, средств обучения, игр, иргушек</t>
  </si>
  <si>
    <t xml:space="preserve">Плата за сбросы загрязняющих веществ в водные объекты ( пени по соответствующему платежу) </t>
  </si>
  <si>
    <t xml:space="preserve">1 16 25010 01 6000 140 </t>
  </si>
  <si>
    <t>Денежные взыскания (штрафы) за нарушение законодательства о недрах</t>
  </si>
  <si>
    <t xml:space="preserve">1 16 25020 01 6000 140 </t>
  </si>
  <si>
    <t>Денежные взыскания (штрафы) за нарушение законодательства Российской Федерации об особо охраняемых природных территориях</t>
  </si>
  <si>
    <t xml:space="preserve">1 16 25040 01 6000 140 </t>
  </si>
  <si>
    <t xml:space="preserve">Денежные взыскания (штрафы) за нарушение законодательства Российской Федерации об экологической экспертизе </t>
  </si>
  <si>
    <t xml:space="preserve">1 16 25050 01 6000 140 </t>
  </si>
  <si>
    <t>Денежные взыскания (штрафы) за нарушение законодательства в области охраны окружающей среды</t>
  </si>
  <si>
    <t xml:space="preserve">1 16 25060 01 6000 140 </t>
  </si>
  <si>
    <t>Денежные взыскания (штрафы) за нарушение земельного законодательства</t>
  </si>
  <si>
    <t xml:space="preserve">1 16 43000 01 0000 140 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</si>
  <si>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</si>
  <si>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1 16 90040 04 6000 140 </t>
  </si>
  <si>
    <t>1 16 25030 01 6000 140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</si>
  <si>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</si>
  <si>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1 16 43000 01 6000 140</t>
  </si>
  <si>
    <t>1 16 90040 04 6000 140</t>
  </si>
  <si>
    <t>1 16 25060 01 6000 140</t>
  </si>
  <si>
    <t xml:space="preserve">1 16 43000 01 6000 140 </t>
  </si>
  <si>
    <t>096</t>
  </si>
  <si>
    <t>Управление Федеральной службы по надзору в сфере связи, информационных технологий и массовых коммуникаций по Кабардино-Балкарской Республике</t>
  </si>
  <si>
    <t>1 16 30013 01 6000 140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</si>
  <si>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</si>
  <si>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1 16 30030 01 6000 140 </t>
  </si>
  <si>
    <t>Прочие денежные взыскания (штрафы) за правонарушения в области дорожного движения (федеральные государственные органы, Банк России, органы управления государственными внебюджетными фондами Российской Федерации)</t>
  </si>
  <si>
    <t>1 16 08010 01 6000 140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</si>
  <si>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</si>
  <si>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1 16 08020 01 6000 140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</si>
  <si>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</si>
  <si>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1 16 28000 01 6000 140 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</si>
  <si>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</si>
  <si>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Управление Федеральной антимонопольной службы по Кабардино-Балкарской Республике </t>
  </si>
  <si>
    <t>1 16 33040 04 6000 140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</si>
  <si>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 (федеральные государственные органы, Банк России, органы управления государственными внебюджетными фондами Российской Федерации)</t>
  </si>
  <si>
    <t xml:space="preserve">1 16 03000 00 0000 140 </t>
  </si>
  <si>
    <t>Денежные взыскания (штрафы) за нарушение законодательства о налогах и сборах</t>
  </si>
  <si>
    <t xml:space="preserve">1 16 06000 01 0000 140 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</si>
  <si>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</si>
  <si>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1.16.43000.01.0031.140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</si>
  <si>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 (уклонение от исполнения административного наказания)</t>
  </si>
  <si>
    <t xml:space="preserve">1 16 28000 01 7000 140 </t>
  </si>
  <si>
    <t>1 16 30030 01 6000 140</t>
  </si>
  <si>
    <t>Прочие денежные взыскания (штрафы) за  правонарушения в области дорожного движения</t>
  </si>
  <si>
    <t xml:space="preserve">Прочие поступления от денежных взысканий (штрафов) и иных сумм в возмещение ущерба, зачисляемые в бюджеты городских округов </t>
  </si>
  <si>
    <t>1 16 41000 01 6000 140</t>
  </si>
  <si>
    <t>Денежные взыскания (штрафы) за нарушение законодательства Российской Федерации об электроэнергетике</t>
  </si>
  <si>
    <t>1 16 45000 01 6000 140</t>
  </si>
  <si>
    <t>Денежные взыскания (штрафы) за нарушения законодательства Российской Федерации о промышленной безопасности</t>
  </si>
  <si>
    <t>Государственный комитет Кабардино-Балкарской Республики по энергетике, тарифам и жилищному надзору</t>
  </si>
  <si>
    <t xml:space="preserve">1 16 90040 04 0000 140 </t>
  </si>
  <si>
    <t xml:space="preserve">Министерство строительства, жилищно-коммунального и дорожного хозяйства Кабардино-Балкарской Республики </t>
  </si>
  <si>
    <t xml:space="preserve">1 16 25010 01 0000 140 </t>
  </si>
  <si>
    <t>1 16 25030 01 0000 140</t>
  </si>
  <si>
    <t>1 16 25050 01 0000 140</t>
  </si>
  <si>
    <t>1 16 43000 01 0000 140</t>
  </si>
  <si>
    <t xml:space="preserve">Денежные взыскания (штрафы) за нарушение законодательства Российской Федерации об административных правонарушениях, предусмотренных статьей 20.25. Кодекса Российской Федерации об административных правонарушениях </t>
  </si>
  <si>
    <t>НА 2019 ГОД И НА ПЛАНОВЫЙ ПЕРИОД 2020 И 2021 ГОДЫ</t>
  </si>
  <si>
    <t xml:space="preserve"> 2019 год</t>
  </si>
  <si>
    <t>Прочие межбюджетные трансферты, передаваемые бюджетам городских округов (отдых детей в каникулярное время в лагерях с дневным пребыванием)</t>
  </si>
  <si>
    <t>Расходы на поддержку отрасли культуры</t>
  </si>
  <si>
    <t>Строительство городской улицы на месте 20-го ходового пути от ул. Мальбахова до примыкания к ул. Калюжного и реконструкция ул. Калюжного от пересечения с ул. Головко до ул. Эльбрусской (2-я очередь) софинансирование из местного бюджета</t>
  </si>
  <si>
    <t>Строительство сетей электроснабжения жилой застройки в продолжение микрорайона Нарт жилого района Вольный Аул (2018 - 2019 гг.)</t>
  </si>
  <si>
    <t>Строительство (устройство) трех многофункциональных площадок с детскими спортивно-оздоровительными комплексами и зонами воркаута</t>
  </si>
  <si>
    <t>НА 2019 ГОД И НА ПЛАНОВЫЙ ПЕРИОД 2020 И 2021 ГОДОВ</t>
  </si>
  <si>
    <t xml:space="preserve">городского округа Нальчик "О внесении изменений  </t>
  </si>
  <si>
    <t>в решение Совета местного самоуправления городского округа</t>
  </si>
  <si>
    <t>Нальчик от 25.12.2018г. №191 "О местном бюджете городского</t>
  </si>
  <si>
    <t xml:space="preserve"> округа Нальчик на 2019 год и на плановый период 2020 и 2021 годов"</t>
  </si>
  <si>
    <t>Приложение №3</t>
  </si>
  <si>
    <t>Приложение №1</t>
  </si>
  <si>
    <t>МЕСТНОГО БЮДЖЕТА НА 2019 ГОД И НА ПЛАНОВЫЙ ПЕРИОД 2020 И 2021 ГОДОВ</t>
  </si>
  <si>
    <t>МЕСТНОГО БЮДЖЕТА НА 2019 ГОД И НА ПЛАНОВЫЙ ПЕРИОД НА 2020 и 2021 ГОДОВ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</si>
  <si>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</si>
  <si>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Создание объектов социального и производственного комплексов, в том числе объектов общегражданского назначения, жилья, инфраструктуры, и иных объектов</t>
  </si>
  <si>
    <t>0510394009</t>
  </si>
  <si>
    <t>Муниципальная целевая программа "Переселение граждан из аварийного жилья"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</si>
  <si>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0510100000</t>
  </si>
  <si>
    <t>0520100000, 0510394009</t>
  </si>
  <si>
    <t>0510370000</t>
  </si>
  <si>
    <t xml:space="preserve">Муниципальная целевая программа "Улучшение бытовых условий граждан, проживающих в многоквартирных домах коммунального типа по ул. Калининградская, 3-а и ул. Ашурова, 10, в 2019 - 2021 гг."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
</t>
  </si>
  <si>
    <t>Муниципальная целевая программа "Реформирование и модернизация коммунального комплекса городского округа Нальчика Кабардино-Балкарской Республики 2015-2020 годы"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</si>
  <si>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Муниципальная целевая программа "Формирование современной городской среды на территории городского округа Нальчик на 2019 - 2024 годы" муниципальной программы городского округа Нальчик "Обеспечение доступным и комфортным жильем и коммунальными услугами жителей городского округа Нальчик"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</si>
  <si>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</si>
  <si>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Заместитель Главы городского округа Нальчик-</t>
  </si>
  <si>
    <t xml:space="preserve">заместитель Председателя Совета местного самоуправления </t>
  </si>
  <si>
    <t>городского округа Нальчик                                                                                  В.Б.Назранов</t>
  </si>
  <si>
    <t>заместитель Председателя Совета местного самоуправления</t>
  </si>
  <si>
    <t>городского округа Нальчик                                                                                                         В.Б.Назранов</t>
  </si>
  <si>
    <t>городского округа Нальчик                                                                                                                                                                 В.Б.Назранов</t>
  </si>
  <si>
    <t>городского округа Нальчик                                                                                                                                                                                         В.Б.Назранов</t>
  </si>
  <si>
    <t>Осуществление переданных муниципальным районам и городским округам в соответствии со статьей 2 Закона КБР от 14 .04. 2015 года     № 16-РЗ "О наделении органов местного самоуправления муниципальных районов и городских округов отдельными государственными полномочиями по созданию, организации деятельности административных комиссий и по определению перечня должностных лиц органов местного самоуправления, уполномоченных составлять протоколы об административных правонарушениях" полномочий Кабардино-Балкарской Республики по созданию и организации деятельности административных комиссий</t>
  </si>
  <si>
    <t xml:space="preserve">заместитель Главы городского округа Нальчик- </t>
  </si>
  <si>
    <t>городского округа Нальчик                                                                                                                                                                        В.Б.Назранов</t>
  </si>
  <si>
    <t>городского округа Нальчик                                                                                                                                                                       В.Б.Назранов</t>
  </si>
  <si>
    <t>заместитель Главы городского округа Нальчик-</t>
  </si>
  <si>
    <t>городского округа Нальчик                                                                                                                                                           В.Б.Назранов</t>
  </si>
  <si>
    <t>городского округа Нальчик                                                                                                                                                                      В.Б.Назранов</t>
  </si>
  <si>
    <t>Создание объектов социального и производственного комплексов, в том числе объектов общегражданского назначения, жилья, инфраструктуры  и иных объектов</t>
  </si>
  <si>
    <t>от "13 " декабря  2019г. №277</t>
  </si>
  <si>
    <t>от " 13 "  декабря  2019г. №277</t>
  </si>
  <si>
    <t>от " 13 "  декабря  2019г. № 277</t>
  </si>
  <si>
    <t>от " 13 " декабря  2019г. №277</t>
  </si>
  <si>
    <t>от "13 " декабря  2019г. № 277</t>
  </si>
  <si>
    <t>от " 13 " декабря  2019г. № 277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</si>
</sst>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00000"/>
    <numFmt numFmtId="166" formatCode="#,##0.0000"/>
    <numFmt numFmtId="167" formatCode="?"/>
  </numFmts>
  <fonts count="25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10"/>
      <name val="Times New Roman"/>
      <family val="1"/>
      <charset val="204"/>
    </font>
    <font>
      <b/>
      <sz val="8"/>
      <name val="Arial Cyr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3" fillId="0" borderId="0"/>
  </cellStyleXfs>
  <cellXfs count="416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7" fillId="0" borderId="0" xfId="0" applyFont="1" applyFill="1"/>
    <xf numFmtId="3" fontId="7" fillId="0" borderId="0" xfId="0" applyNumberFormat="1" applyFont="1" applyFill="1"/>
    <xf numFmtId="164" fontId="0" fillId="0" borderId="0" xfId="0" applyNumberFormat="1"/>
    <xf numFmtId="3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ill="1"/>
    <xf numFmtId="164" fontId="2" fillId="0" borderId="0" xfId="0" applyNumberFormat="1" applyFont="1" applyFill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/>
    <xf numFmtId="164" fontId="3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64" fontId="2" fillId="2" borderId="0" xfId="0" applyNumberFormat="1" applyFont="1" applyFill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2" fillId="0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/>
    <xf numFmtId="164" fontId="2" fillId="0" borderId="0" xfId="0" applyNumberFormat="1" applyFont="1" applyBorder="1" applyAlignment="1">
      <alignment horizontal="right" vertical="top" wrapText="1"/>
    </xf>
    <xf numFmtId="0" fontId="2" fillId="0" borderId="0" xfId="0" applyFont="1" applyAlignment="1"/>
    <xf numFmtId="0" fontId="5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0" borderId="0" xfId="0" applyAlignment="1"/>
    <xf numFmtId="0" fontId="2" fillId="2" borderId="0" xfId="0" applyFont="1" applyFill="1"/>
    <xf numFmtId="164" fontId="2" fillId="2" borderId="1" xfId="0" applyNumberFormat="1" applyFont="1" applyFill="1" applyBorder="1" applyAlignment="1">
      <alignment horizontal="center" vertical="center"/>
    </xf>
    <xf numFmtId="3" fontId="2" fillId="2" borderId="0" xfId="0" applyNumberFormat="1" applyFont="1" applyFill="1"/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164" fontId="0" fillId="0" borderId="0" xfId="0" applyNumberForma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3" fontId="2" fillId="2" borderId="0" xfId="0" applyNumberFormat="1" applyFont="1" applyFill="1" applyBorder="1" applyAlignment="1">
      <alignment horizontal="right"/>
    </xf>
    <xf numFmtId="0" fontId="7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right"/>
    </xf>
    <xf numFmtId="0" fontId="1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2" fillId="2" borderId="1" xfId="0" applyFont="1" applyFill="1" applyBorder="1" applyAlignment="1">
      <alignment vertical="center"/>
    </xf>
    <xf numFmtId="0" fontId="0" fillId="2" borderId="0" xfId="0" applyFont="1" applyFill="1" applyAlignment="1">
      <alignment horizontal="right"/>
    </xf>
    <xf numFmtId="0" fontId="0" fillId="2" borderId="0" xfId="0" applyFont="1" applyFill="1"/>
    <xf numFmtId="0" fontId="3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3" fillId="2" borderId="0" xfId="0" applyFont="1" applyFill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0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3" fontId="21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/>
    </xf>
    <xf numFmtId="166" fontId="21" fillId="0" borderId="0" xfId="0" applyNumberFormat="1" applyFont="1" applyFill="1" applyAlignment="1">
      <alignment horizontal="right" vertical="center"/>
    </xf>
    <xf numFmtId="0" fontId="20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right" vertical="center"/>
    </xf>
    <xf numFmtId="166" fontId="21" fillId="0" borderId="0" xfId="0" applyNumberFormat="1" applyFont="1" applyFill="1" applyAlignment="1">
      <alignment vertical="center"/>
    </xf>
    <xf numFmtId="166" fontId="20" fillId="0" borderId="0" xfId="0" applyNumberFormat="1" applyFont="1" applyFill="1" applyAlignment="1">
      <alignment horizontal="right" vertical="center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3" fontId="20" fillId="0" borderId="0" xfId="0" applyNumberFormat="1" applyFont="1" applyFill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vertical="center"/>
    </xf>
    <xf numFmtId="0" fontId="5" fillId="0" borderId="0" xfId="0" applyFont="1" applyFill="1" applyAlignment="1"/>
    <xf numFmtId="0" fontId="22" fillId="0" borderId="0" xfId="0" applyFont="1" applyFill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/>
    <xf numFmtId="4" fontId="2" fillId="0" borderId="0" xfId="0" applyNumberFormat="1" applyFont="1" applyFill="1" applyAlignment="1">
      <alignment horizontal="right" vertical="center"/>
    </xf>
    <xf numFmtId="0" fontId="22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/>
    <xf numFmtId="0" fontId="20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15" fillId="0" borderId="0" xfId="0" applyFo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20" fillId="0" borderId="1" xfId="0" applyFont="1" applyFill="1" applyBorder="1" applyAlignment="1">
      <alignment horizontal="justify" wrapText="1"/>
    </xf>
    <xf numFmtId="0" fontId="5" fillId="0" borderId="1" xfId="1" applyFont="1" applyFill="1" applyBorder="1" applyAlignment="1">
      <alignment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/>
    <xf numFmtId="0" fontId="2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166" fontId="5" fillId="0" borderId="0" xfId="0" applyNumberFormat="1" applyFont="1" applyFill="1" applyAlignment="1"/>
    <xf numFmtId="166" fontId="5" fillId="0" borderId="0" xfId="0" applyNumberFormat="1" applyFont="1" applyFill="1" applyAlignment="1">
      <alignment horizontal="right" vertical="center"/>
    </xf>
    <xf numFmtId="0" fontId="20" fillId="0" borderId="0" xfId="0" applyFont="1" applyFill="1" applyAlignment="1">
      <alignment horizontal="center" vertical="center" wrapText="1"/>
    </xf>
    <xf numFmtId="164" fontId="20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4" fontId="5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horizontal="right" vertical="center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167" fontId="5" fillId="0" borderId="1" xfId="0" applyNumberFormat="1" applyFont="1" applyBorder="1" applyAlignment="1" applyProtection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14" fontId="23" fillId="0" borderId="0" xfId="0" applyNumberFormat="1" applyFont="1" applyFill="1"/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3" fontId="20" fillId="0" borderId="0" xfId="0" applyNumberFormat="1" applyFont="1" applyFill="1" applyAlignment="1">
      <alignment horizontal="center" vertical="center"/>
    </xf>
    <xf numFmtId="164" fontId="20" fillId="0" borderId="0" xfId="0" applyNumberFormat="1" applyFont="1" applyFill="1" applyAlignment="1">
      <alignment vertical="center" wrapText="1"/>
    </xf>
    <xf numFmtId="164" fontId="20" fillId="0" borderId="0" xfId="0" applyNumberFormat="1" applyFont="1" applyFill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/>
    <xf numFmtId="3" fontId="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6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0" fillId="2" borderId="0" xfId="0" applyFont="1" applyFill="1" applyAlignment="1"/>
    <xf numFmtId="0" fontId="5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2" fillId="2" borderId="6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/>
    <xf numFmtId="3" fontId="5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7" xfId="0" applyFont="1" applyFill="1" applyBorder="1"/>
    <xf numFmtId="0" fontId="0" fillId="2" borderId="2" xfId="0" applyFont="1" applyFill="1" applyBorder="1"/>
    <xf numFmtId="3" fontId="2" fillId="2" borderId="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0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0" fillId="2" borderId="5" xfId="0" applyFont="1" applyFill="1" applyBorder="1"/>
    <xf numFmtId="0" fontId="0" fillId="2" borderId="8" xfId="0" applyFont="1" applyFill="1" applyBorder="1"/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0" fillId="0" borderId="0" xfId="0" applyAlignment="1"/>
    <xf numFmtId="0" fontId="5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2" fillId="0" borderId="6" xfId="0" applyFont="1" applyBorder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5" fillId="0" borderId="1" xfId="0" applyNumberFormat="1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/>
  </cellXfs>
  <cellStyles count="7">
    <cellStyle name="Обычный" xfId="0" builtinId="0"/>
    <cellStyle name="Обычный 2" xfId="1"/>
    <cellStyle name="Обычный 4" xfId="2"/>
    <cellStyle name="Обычный 5" xfId="3"/>
    <cellStyle name="Обычный 6" xfId="4"/>
    <cellStyle name="Обычный 7" xfId="5"/>
    <cellStyle name="Обычный 8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8.12\&#1086;&#1073;&#1097;&#1072;&#1103;%20&#1087;&#1072;&#1087;&#1082;&#1072;%20&#1076;&#1083;&#1103;%20&#1086;&#1073;&#1084;&#1077;&#1085;&#1072;\&#1058;&#1054;&#1052;&#1040;\&#1054;&#1090;&#1095;&#1077;&#1090;%20&#1079;&#1072;%201%20&#1082;&#1074;&#1072;&#1088;&#1090;&#1072;&#1083;%202015%20&#1075;&#1086;&#1076;&#1072;\&#1050;&#1086;&#1087;&#1080;&#1103;%20&#1055;&#1056;&#1048;&#1051;&#1054;&#1046;&#1045;&#1053;&#1048;&#1071;%20%202,3,4-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.2"/>
      <sheetName val="прил.3"/>
      <sheetName val="Отраслевая 2015-2016"/>
      <sheetName val="прил.4"/>
      <sheetName val="Программы 2015-2016"/>
      <sheetName val="Ведомственная 2015-2016"/>
      <sheetName val="Прил №9"/>
      <sheetName val="Прил №11"/>
      <sheetName val="Прил.№2 к Сред.срочн.плану"/>
      <sheetName val="Прилож.№ 10"/>
    </sheetNames>
    <sheetDataSet>
      <sheetData sheetId="0">
        <row r="191">
          <cell r="A191" t="str">
            <v>Другие вопросы в области  культуры и кинематографии</v>
          </cell>
        </row>
        <row r="289">
          <cell r="A289" t="str">
            <v>ФИЗИЧЕСКАЯ КУЛЬТУРА И СПОРТ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1"/>
  <sheetViews>
    <sheetView workbookViewId="0">
      <selection activeCell="H16" sqref="H16"/>
    </sheetView>
  </sheetViews>
  <sheetFormatPr defaultRowHeight="15"/>
  <cols>
    <col min="1" max="1" width="12.28515625" style="211" customWidth="1"/>
    <col min="2" max="2" width="23.5703125" style="211" customWidth="1"/>
    <col min="3" max="3" width="52.28515625" style="211" customWidth="1"/>
    <col min="4" max="16384" width="9.140625" style="211"/>
  </cols>
  <sheetData>
    <row r="1" spans="1:5" ht="15.75">
      <c r="A1" s="129"/>
      <c r="B1" s="171"/>
      <c r="C1" s="171" t="s">
        <v>1124</v>
      </c>
      <c r="D1" s="169"/>
    </row>
    <row r="2" spans="1:5" ht="15.75">
      <c r="A2" s="129"/>
      <c r="B2" s="168"/>
      <c r="C2" s="168" t="s">
        <v>433</v>
      </c>
      <c r="D2" s="169"/>
    </row>
    <row r="3" spans="1:5" ht="15.75">
      <c r="A3" s="129"/>
      <c r="B3" s="15"/>
      <c r="C3" s="15" t="s">
        <v>1119</v>
      </c>
      <c r="D3" s="169"/>
    </row>
    <row r="4" spans="1:5" ht="15.75">
      <c r="A4" s="129"/>
      <c r="B4" s="15"/>
      <c r="C4" s="15" t="s">
        <v>1120</v>
      </c>
      <c r="D4" s="169"/>
    </row>
    <row r="5" spans="1:5" ht="15.75">
      <c r="A5" s="129"/>
      <c r="B5" s="15"/>
      <c r="C5" s="15" t="s">
        <v>1121</v>
      </c>
      <c r="D5" s="169"/>
    </row>
    <row r="6" spans="1:5" ht="15.75">
      <c r="A6" s="129"/>
      <c r="B6" s="15"/>
      <c r="C6" s="169" t="s">
        <v>1122</v>
      </c>
      <c r="D6" s="9"/>
      <c r="E6" s="9"/>
    </row>
    <row r="7" spans="1:5" ht="15.75">
      <c r="A7" s="212"/>
      <c r="B7" s="212"/>
      <c r="C7" s="321" t="s">
        <v>1153</v>
      </c>
    </row>
    <row r="8" spans="1:5" ht="15.75">
      <c r="A8" s="212"/>
      <c r="B8" s="212"/>
      <c r="C8" s="169"/>
    </row>
    <row r="9" spans="1:5" ht="15.75">
      <c r="A9" s="212"/>
      <c r="B9" s="212"/>
      <c r="C9" s="212"/>
    </row>
    <row r="10" spans="1:5" ht="15.75">
      <c r="A10" s="324" t="s">
        <v>687</v>
      </c>
      <c r="B10" s="324"/>
      <c r="C10" s="324"/>
    </row>
    <row r="11" spans="1:5" ht="15.75">
      <c r="A11" s="324" t="s">
        <v>688</v>
      </c>
      <c r="B11" s="324"/>
      <c r="C11" s="324"/>
    </row>
    <row r="12" spans="1:5" ht="15.75">
      <c r="A12" s="325" t="s">
        <v>689</v>
      </c>
      <c r="B12" s="325"/>
      <c r="C12" s="325"/>
    </row>
    <row r="13" spans="1:5" ht="15.75">
      <c r="A13" s="213"/>
      <c r="B13" s="214"/>
      <c r="C13" s="215"/>
    </row>
    <row r="14" spans="1:5" ht="15.75">
      <c r="A14" s="4"/>
      <c r="B14" s="4"/>
      <c r="C14" s="291"/>
    </row>
    <row r="15" spans="1:5" ht="37.5" customHeight="1">
      <c r="A15" s="326" t="s">
        <v>306</v>
      </c>
      <c r="B15" s="326"/>
      <c r="C15" s="326" t="s">
        <v>690</v>
      </c>
    </row>
    <row r="16" spans="1:5" ht="63">
      <c r="A16" s="311" t="s">
        <v>691</v>
      </c>
      <c r="B16" s="311" t="s">
        <v>692</v>
      </c>
      <c r="C16" s="326"/>
    </row>
    <row r="17" spans="1:3" ht="15.75">
      <c r="A17" s="311">
        <v>1</v>
      </c>
      <c r="B17" s="311">
        <v>2</v>
      </c>
      <c r="C17" s="311">
        <v>3</v>
      </c>
    </row>
    <row r="18" spans="1:3" ht="31.5">
      <c r="A18" s="216">
        <v>803</v>
      </c>
      <c r="B18" s="216"/>
      <c r="C18" s="217" t="s">
        <v>693</v>
      </c>
    </row>
    <row r="19" spans="1:3" ht="30" customHeight="1">
      <c r="A19" s="218">
        <v>803</v>
      </c>
      <c r="B19" s="218" t="s">
        <v>694</v>
      </c>
      <c r="C19" s="219" t="s">
        <v>695</v>
      </c>
    </row>
    <row r="20" spans="1:3" ht="30.75" customHeight="1">
      <c r="A20" s="218">
        <v>803</v>
      </c>
      <c r="B20" s="218" t="s">
        <v>696</v>
      </c>
      <c r="C20" s="219" t="s">
        <v>697</v>
      </c>
    </row>
    <row r="21" spans="1:3" ht="36.75" customHeight="1">
      <c r="A21" s="218">
        <v>803</v>
      </c>
      <c r="B21" s="220" t="s">
        <v>698</v>
      </c>
      <c r="C21" s="219" t="s">
        <v>699</v>
      </c>
    </row>
    <row r="22" spans="1:3" ht="31.5">
      <c r="A22" s="218">
        <v>803</v>
      </c>
      <c r="B22" s="220" t="s">
        <v>700</v>
      </c>
      <c r="C22" s="219" t="s">
        <v>701</v>
      </c>
    </row>
    <row r="23" spans="1:3" ht="45.75" customHeight="1">
      <c r="A23" s="218">
        <v>803</v>
      </c>
      <c r="B23" s="218" t="s">
        <v>1044</v>
      </c>
      <c r="C23" s="219" t="s">
        <v>1045</v>
      </c>
    </row>
    <row r="24" spans="1:3" ht="31.5">
      <c r="A24" s="218">
        <v>803</v>
      </c>
      <c r="B24" s="218" t="s">
        <v>702</v>
      </c>
      <c r="C24" s="219" t="s">
        <v>703</v>
      </c>
    </row>
    <row r="25" spans="1:3" ht="31.5">
      <c r="A25" s="218">
        <v>803</v>
      </c>
      <c r="B25" s="218" t="s">
        <v>704</v>
      </c>
      <c r="C25" s="219" t="s">
        <v>705</v>
      </c>
    </row>
    <row r="26" spans="1:3" ht="47.25">
      <c r="A26" s="218">
        <v>803</v>
      </c>
      <c r="B26" s="218" t="s">
        <v>706</v>
      </c>
      <c r="C26" s="219" t="s">
        <v>707</v>
      </c>
    </row>
    <row r="27" spans="1:3" ht="110.25" customHeight="1">
      <c r="A27" s="218">
        <v>803</v>
      </c>
      <c r="B27" s="218" t="s">
        <v>708</v>
      </c>
      <c r="C27" s="219" t="s">
        <v>709</v>
      </c>
    </row>
    <row r="28" spans="1:3" ht="63.75" customHeight="1">
      <c r="A28" s="218">
        <v>803</v>
      </c>
      <c r="B28" s="218" t="s">
        <v>710</v>
      </c>
      <c r="C28" s="219" t="s">
        <v>711</v>
      </c>
    </row>
    <row r="29" spans="1:3" ht="94.5">
      <c r="A29" s="218">
        <v>803</v>
      </c>
      <c r="B29" s="218" t="s">
        <v>712</v>
      </c>
      <c r="C29" s="219" t="s">
        <v>713</v>
      </c>
    </row>
    <row r="30" spans="1:3" ht="63">
      <c r="A30" s="218">
        <v>803</v>
      </c>
      <c r="B30" s="218" t="s">
        <v>714</v>
      </c>
      <c r="C30" s="219" t="s">
        <v>715</v>
      </c>
    </row>
    <row r="31" spans="1:3" ht="63">
      <c r="A31" s="218">
        <v>803</v>
      </c>
      <c r="B31" s="218" t="s">
        <v>716</v>
      </c>
      <c r="C31" s="219" t="s">
        <v>717</v>
      </c>
    </row>
    <row r="32" spans="1:3" ht="63">
      <c r="A32" s="218">
        <v>803</v>
      </c>
      <c r="B32" s="218" t="s">
        <v>718</v>
      </c>
      <c r="C32" s="219" t="s">
        <v>719</v>
      </c>
    </row>
    <row r="33" spans="1:3" ht="63">
      <c r="A33" s="218">
        <v>803</v>
      </c>
      <c r="B33" s="218" t="s">
        <v>720</v>
      </c>
      <c r="C33" s="219" t="s">
        <v>721</v>
      </c>
    </row>
    <row r="34" spans="1:3" ht="61.5" customHeight="1">
      <c r="A34" s="218">
        <v>803</v>
      </c>
      <c r="B34" s="220" t="s">
        <v>722</v>
      </c>
      <c r="C34" s="221" t="s">
        <v>723</v>
      </c>
    </row>
    <row r="35" spans="1:3" ht="64.5" customHeight="1">
      <c r="A35" s="218">
        <v>803</v>
      </c>
      <c r="B35" s="220" t="s">
        <v>724</v>
      </c>
      <c r="C35" s="221" t="s">
        <v>725</v>
      </c>
    </row>
    <row r="36" spans="1:3" ht="63">
      <c r="A36" s="218">
        <v>803</v>
      </c>
      <c r="B36" s="220" t="s">
        <v>726</v>
      </c>
      <c r="C36" s="219" t="s">
        <v>727</v>
      </c>
    </row>
    <row r="37" spans="1:3" ht="31.5">
      <c r="A37" s="216">
        <v>805</v>
      </c>
      <c r="B37" s="222"/>
      <c r="C37" s="217" t="s">
        <v>728</v>
      </c>
    </row>
    <row r="38" spans="1:3" ht="47.25">
      <c r="A38" s="218">
        <v>805</v>
      </c>
      <c r="B38" s="220" t="s">
        <v>1046</v>
      </c>
      <c r="C38" s="219" t="s">
        <v>1047</v>
      </c>
    </row>
    <row r="39" spans="1:3" ht="47.25">
      <c r="A39" s="218">
        <v>805</v>
      </c>
      <c r="B39" s="220" t="s">
        <v>1044</v>
      </c>
      <c r="C39" s="219" t="s">
        <v>1045</v>
      </c>
    </row>
    <row r="40" spans="1:3" ht="78.75">
      <c r="A40" s="216">
        <v>810</v>
      </c>
      <c r="B40" s="222"/>
      <c r="C40" s="217" t="s">
        <v>729</v>
      </c>
    </row>
    <row r="41" spans="1:3" ht="33.75" customHeight="1">
      <c r="A41" s="218">
        <v>810</v>
      </c>
      <c r="B41" s="220" t="s">
        <v>698</v>
      </c>
      <c r="C41" s="219" t="s">
        <v>699</v>
      </c>
    </row>
    <row r="42" spans="1:3" ht="30" customHeight="1">
      <c r="A42" s="218">
        <v>810</v>
      </c>
      <c r="B42" s="220" t="s">
        <v>700</v>
      </c>
      <c r="C42" s="219" t="s">
        <v>701</v>
      </c>
    </row>
    <row r="43" spans="1:3" ht="30" customHeight="1">
      <c r="A43" s="218">
        <v>810</v>
      </c>
      <c r="B43" s="220" t="s">
        <v>1048</v>
      </c>
      <c r="C43" s="219" t="s">
        <v>701</v>
      </c>
    </row>
    <row r="44" spans="1:3" ht="111.75" customHeight="1">
      <c r="A44" s="218">
        <v>810</v>
      </c>
      <c r="B44" s="218" t="s">
        <v>1049</v>
      </c>
      <c r="C44" s="219" t="s">
        <v>1050</v>
      </c>
    </row>
    <row r="45" spans="1:3" ht="45" customHeight="1">
      <c r="A45" s="218">
        <v>810</v>
      </c>
      <c r="B45" s="218" t="s">
        <v>1044</v>
      </c>
      <c r="C45" s="219" t="s">
        <v>1045</v>
      </c>
    </row>
    <row r="46" spans="1:3" ht="29.25" customHeight="1">
      <c r="A46" s="218">
        <v>810</v>
      </c>
      <c r="B46" s="218" t="s">
        <v>702</v>
      </c>
      <c r="C46" s="219" t="s">
        <v>703</v>
      </c>
    </row>
    <row r="47" spans="1:3" ht="29.25" customHeight="1">
      <c r="A47" s="218">
        <v>810</v>
      </c>
      <c r="B47" s="218" t="s">
        <v>730</v>
      </c>
      <c r="C47" s="219" t="s">
        <v>731</v>
      </c>
    </row>
    <row r="48" spans="1:3" ht="110.25">
      <c r="A48" s="218">
        <v>810</v>
      </c>
      <c r="B48" s="218" t="s">
        <v>732</v>
      </c>
      <c r="C48" s="219" t="s">
        <v>733</v>
      </c>
    </row>
    <row r="49" spans="1:3" ht="45" customHeight="1">
      <c r="A49" s="218">
        <v>810</v>
      </c>
      <c r="B49" s="218" t="s">
        <v>734</v>
      </c>
      <c r="C49" s="219" t="s">
        <v>735</v>
      </c>
    </row>
    <row r="50" spans="1:3" ht="108.75" customHeight="1">
      <c r="A50" s="218">
        <v>810</v>
      </c>
      <c r="B50" s="218" t="s">
        <v>736</v>
      </c>
      <c r="C50" s="219" t="s">
        <v>737</v>
      </c>
    </row>
    <row r="51" spans="1:3" ht="81" customHeight="1">
      <c r="A51" s="218">
        <v>810</v>
      </c>
      <c r="B51" s="311" t="s">
        <v>884</v>
      </c>
      <c r="C51" s="180" t="s">
        <v>885</v>
      </c>
    </row>
    <row r="52" spans="1:3" ht="63.75" customHeight="1">
      <c r="A52" s="218">
        <v>810</v>
      </c>
      <c r="B52" s="218" t="s">
        <v>738</v>
      </c>
      <c r="C52" s="219" t="s">
        <v>739</v>
      </c>
    </row>
    <row r="53" spans="1:3" ht="45" customHeight="1">
      <c r="A53" s="218">
        <v>810</v>
      </c>
      <c r="B53" s="218" t="s">
        <v>740</v>
      </c>
      <c r="C53" s="219" t="s">
        <v>741</v>
      </c>
    </row>
    <row r="54" spans="1:3" ht="18.75" customHeight="1">
      <c r="A54" s="218">
        <v>810</v>
      </c>
      <c r="B54" s="218" t="s">
        <v>742</v>
      </c>
      <c r="C54" s="219" t="s">
        <v>743</v>
      </c>
    </row>
    <row r="55" spans="1:3" ht="77.25" customHeight="1">
      <c r="A55" s="218">
        <v>810</v>
      </c>
      <c r="B55" s="229" t="s">
        <v>886</v>
      </c>
      <c r="C55" s="180" t="s">
        <v>887</v>
      </c>
    </row>
    <row r="56" spans="1:3" ht="61.5" customHeight="1">
      <c r="A56" s="218">
        <v>810</v>
      </c>
      <c r="B56" s="220" t="s">
        <v>726</v>
      </c>
      <c r="C56" s="219" t="s">
        <v>727</v>
      </c>
    </row>
    <row r="57" spans="1:3" ht="15.75">
      <c r="A57" s="223" t="s">
        <v>226</v>
      </c>
      <c r="B57" s="216"/>
      <c r="C57" s="217" t="s">
        <v>744</v>
      </c>
    </row>
    <row r="58" spans="1:3" ht="31.5">
      <c r="A58" s="218">
        <v>821</v>
      </c>
      <c r="B58" s="218" t="s">
        <v>702</v>
      </c>
      <c r="C58" s="219" t="s">
        <v>745</v>
      </c>
    </row>
    <row r="59" spans="1:3" ht="47.25">
      <c r="A59" s="224" t="s">
        <v>226</v>
      </c>
      <c r="B59" s="218" t="s">
        <v>746</v>
      </c>
      <c r="C59" s="219" t="s">
        <v>747</v>
      </c>
    </row>
    <row r="60" spans="1:3" ht="63">
      <c r="A60" s="224" t="s">
        <v>226</v>
      </c>
      <c r="B60" s="218" t="s">
        <v>726</v>
      </c>
      <c r="C60" s="219" t="s">
        <v>748</v>
      </c>
    </row>
    <row r="61" spans="1:3" ht="31.5">
      <c r="A61" s="216">
        <v>857</v>
      </c>
      <c r="B61" s="222"/>
      <c r="C61" s="217" t="s">
        <v>749</v>
      </c>
    </row>
    <row r="62" spans="1:3" ht="34.5" customHeight="1">
      <c r="A62" s="218">
        <v>857</v>
      </c>
      <c r="B62" s="220" t="s">
        <v>698</v>
      </c>
      <c r="C62" s="219" t="s">
        <v>750</v>
      </c>
    </row>
    <row r="63" spans="1:3" ht="31.5">
      <c r="A63" s="218">
        <v>857</v>
      </c>
      <c r="B63" s="220" t="s">
        <v>700</v>
      </c>
      <c r="C63" s="219" t="s">
        <v>751</v>
      </c>
    </row>
    <row r="64" spans="1:3" ht="31.5">
      <c r="A64" s="218">
        <v>857</v>
      </c>
      <c r="B64" s="218" t="s">
        <v>702</v>
      </c>
      <c r="C64" s="219" t="s">
        <v>745</v>
      </c>
    </row>
    <row r="65" spans="1:3" ht="47.25">
      <c r="A65" s="218">
        <v>857</v>
      </c>
      <c r="B65" s="218" t="s">
        <v>752</v>
      </c>
      <c r="C65" s="164" t="s">
        <v>753</v>
      </c>
    </row>
    <row r="66" spans="1:3" ht="77.25" customHeight="1">
      <c r="A66" s="218">
        <v>857</v>
      </c>
      <c r="B66" s="218" t="s">
        <v>754</v>
      </c>
      <c r="C66" s="219" t="s">
        <v>755</v>
      </c>
    </row>
    <row r="67" spans="1:3" ht="50.25" customHeight="1">
      <c r="A67" s="218">
        <v>857</v>
      </c>
      <c r="B67" s="218" t="s">
        <v>756</v>
      </c>
      <c r="C67" s="219" t="s">
        <v>757</v>
      </c>
    </row>
    <row r="68" spans="1:3" ht="31.5" customHeight="1">
      <c r="A68" s="218">
        <v>857</v>
      </c>
      <c r="B68" s="218" t="s">
        <v>756</v>
      </c>
      <c r="C68" s="219" t="s">
        <v>758</v>
      </c>
    </row>
    <row r="69" spans="1:3" ht="62.25" customHeight="1">
      <c r="A69" s="218">
        <v>857</v>
      </c>
      <c r="B69" s="218" t="s">
        <v>759</v>
      </c>
      <c r="C69" s="225" t="s">
        <v>760</v>
      </c>
    </row>
    <row r="70" spans="1:3" ht="63">
      <c r="A70" s="218">
        <v>857</v>
      </c>
      <c r="B70" s="218" t="s">
        <v>761</v>
      </c>
      <c r="C70" s="225" t="s">
        <v>762</v>
      </c>
    </row>
    <row r="71" spans="1:3" ht="47.25">
      <c r="A71" s="218">
        <v>857</v>
      </c>
      <c r="B71" s="218" t="s">
        <v>763</v>
      </c>
      <c r="C71" s="164" t="s">
        <v>764</v>
      </c>
    </row>
    <row r="72" spans="1:3" ht="63">
      <c r="A72" s="218">
        <v>857</v>
      </c>
      <c r="B72" s="220" t="s">
        <v>726</v>
      </c>
      <c r="C72" s="219" t="s">
        <v>727</v>
      </c>
    </row>
    <row r="73" spans="1:3" ht="47.25">
      <c r="A73" s="216">
        <v>866</v>
      </c>
      <c r="B73" s="216"/>
      <c r="C73" s="217" t="s">
        <v>765</v>
      </c>
    </row>
    <row r="74" spans="1:3" ht="63">
      <c r="A74" s="218">
        <v>866</v>
      </c>
      <c r="B74" s="218" t="s">
        <v>766</v>
      </c>
      <c r="C74" s="219" t="s">
        <v>767</v>
      </c>
    </row>
    <row r="75" spans="1:3" ht="96" customHeight="1">
      <c r="A75" s="218">
        <v>866</v>
      </c>
      <c r="B75" s="218" t="s">
        <v>768</v>
      </c>
      <c r="C75" s="219" t="s">
        <v>769</v>
      </c>
    </row>
    <row r="76" spans="1:3" ht="94.5">
      <c r="A76" s="218">
        <v>866</v>
      </c>
      <c r="B76" s="218" t="s">
        <v>770</v>
      </c>
      <c r="C76" s="219" t="s">
        <v>771</v>
      </c>
    </row>
    <row r="77" spans="1:3" ht="81" customHeight="1">
      <c r="A77" s="218">
        <v>866</v>
      </c>
      <c r="B77" s="218" t="s">
        <v>772</v>
      </c>
      <c r="C77" s="219" t="s">
        <v>773</v>
      </c>
    </row>
    <row r="78" spans="1:3" ht="66" customHeight="1">
      <c r="A78" s="218">
        <v>866</v>
      </c>
      <c r="B78" s="218" t="s">
        <v>774</v>
      </c>
      <c r="C78" s="219" t="s">
        <v>775</v>
      </c>
    </row>
    <row r="79" spans="1:3" ht="31.5" customHeight="1">
      <c r="A79" s="218">
        <v>866</v>
      </c>
      <c r="B79" s="218" t="s">
        <v>700</v>
      </c>
      <c r="C79" s="219" t="s">
        <v>701</v>
      </c>
    </row>
    <row r="80" spans="1:3" ht="109.5" customHeight="1">
      <c r="A80" s="218">
        <v>866</v>
      </c>
      <c r="B80" s="218" t="s">
        <v>776</v>
      </c>
      <c r="C80" s="219" t="s">
        <v>777</v>
      </c>
    </row>
    <row r="81" spans="1:3" ht="108.75" customHeight="1">
      <c r="A81" s="218">
        <v>866</v>
      </c>
      <c r="B81" s="218" t="s">
        <v>778</v>
      </c>
      <c r="C81" s="219" t="s">
        <v>779</v>
      </c>
    </row>
    <row r="82" spans="1:3" ht="60.75" customHeight="1">
      <c r="A82" s="218">
        <v>866</v>
      </c>
      <c r="B82" s="218" t="s">
        <v>780</v>
      </c>
      <c r="C82" s="219" t="s">
        <v>781</v>
      </c>
    </row>
    <row r="83" spans="1:3" ht="66" customHeight="1">
      <c r="A83" s="218">
        <v>866</v>
      </c>
      <c r="B83" s="218" t="s">
        <v>782</v>
      </c>
      <c r="C83" s="219" t="s">
        <v>783</v>
      </c>
    </row>
    <row r="84" spans="1:3" ht="47.25">
      <c r="A84" s="218">
        <v>866</v>
      </c>
      <c r="B84" s="229" t="s">
        <v>1044</v>
      </c>
      <c r="C84" s="232" t="s">
        <v>1045</v>
      </c>
    </row>
    <row r="85" spans="1:3" ht="31.5">
      <c r="A85" s="218">
        <v>866</v>
      </c>
      <c r="B85" s="218" t="s">
        <v>702</v>
      </c>
      <c r="C85" s="219" t="s">
        <v>745</v>
      </c>
    </row>
    <row r="86" spans="1:3" ht="143.25" customHeight="1">
      <c r="A86" s="218">
        <v>866</v>
      </c>
      <c r="B86" s="220" t="s">
        <v>784</v>
      </c>
      <c r="C86" s="219" t="s">
        <v>785</v>
      </c>
    </row>
    <row r="87" spans="1:3" ht="110.25">
      <c r="A87" s="218">
        <v>866</v>
      </c>
      <c r="B87" s="220" t="s">
        <v>786</v>
      </c>
      <c r="C87" s="219" t="s">
        <v>787</v>
      </c>
    </row>
    <row r="88" spans="1:3" ht="30.75" customHeight="1">
      <c r="A88" s="218">
        <v>866</v>
      </c>
      <c r="B88" s="311" t="s">
        <v>888</v>
      </c>
      <c r="C88" s="254" t="s">
        <v>889</v>
      </c>
    </row>
    <row r="89" spans="1:3" ht="61.5" customHeight="1">
      <c r="A89" s="218">
        <v>866</v>
      </c>
      <c r="B89" s="220" t="s">
        <v>726</v>
      </c>
      <c r="C89" s="219" t="s">
        <v>727</v>
      </c>
    </row>
    <row r="90" spans="1:3" ht="31.5">
      <c r="A90" s="216">
        <v>873</v>
      </c>
      <c r="B90" s="218"/>
      <c r="C90" s="217" t="s">
        <v>788</v>
      </c>
    </row>
    <row r="91" spans="1:3" ht="47.25">
      <c r="A91" s="218">
        <v>873</v>
      </c>
      <c r="B91" s="220" t="s">
        <v>789</v>
      </c>
      <c r="C91" s="219" t="s">
        <v>790</v>
      </c>
    </row>
    <row r="92" spans="1:3" ht="47.25">
      <c r="A92" s="218">
        <v>873</v>
      </c>
      <c r="B92" s="220" t="s">
        <v>791</v>
      </c>
      <c r="C92" s="219" t="s">
        <v>792</v>
      </c>
    </row>
    <row r="93" spans="1:3" ht="61.5" customHeight="1">
      <c r="A93" s="218">
        <v>873</v>
      </c>
      <c r="B93" s="220" t="s">
        <v>793</v>
      </c>
      <c r="C93" s="219" t="s">
        <v>794</v>
      </c>
    </row>
    <row r="94" spans="1:3" ht="31.5" customHeight="1">
      <c r="A94" s="218">
        <v>873</v>
      </c>
      <c r="B94" s="220" t="s">
        <v>700</v>
      </c>
      <c r="C94" s="219" t="s">
        <v>701</v>
      </c>
    </row>
    <row r="95" spans="1:3" ht="31.5">
      <c r="A95" s="218">
        <v>873</v>
      </c>
      <c r="B95" s="218" t="s">
        <v>702</v>
      </c>
      <c r="C95" s="219" t="s">
        <v>745</v>
      </c>
    </row>
    <row r="96" spans="1:3" ht="31.5">
      <c r="A96" s="218">
        <v>873</v>
      </c>
      <c r="B96" s="218" t="s">
        <v>795</v>
      </c>
      <c r="C96" s="219" t="s">
        <v>705</v>
      </c>
    </row>
    <row r="97" spans="1:3" ht="46.5" customHeight="1">
      <c r="A97" s="218">
        <v>873</v>
      </c>
      <c r="B97" s="218" t="s">
        <v>752</v>
      </c>
      <c r="C97" s="164" t="s">
        <v>753</v>
      </c>
    </row>
    <row r="98" spans="1:3" ht="63">
      <c r="A98" s="218">
        <v>873</v>
      </c>
      <c r="B98" s="218" t="s">
        <v>796</v>
      </c>
      <c r="C98" s="164" t="s">
        <v>797</v>
      </c>
    </row>
    <row r="99" spans="1:3" ht="63.75" customHeight="1">
      <c r="A99" s="218">
        <v>873</v>
      </c>
      <c r="B99" s="218" t="s">
        <v>798</v>
      </c>
      <c r="C99" s="164" t="s">
        <v>799</v>
      </c>
    </row>
    <row r="100" spans="1:3" ht="47.25">
      <c r="A100" s="218">
        <v>873</v>
      </c>
      <c r="B100" s="218" t="s">
        <v>800</v>
      </c>
      <c r="C100" s="219" t="s">
        <v>801</v>
      </c>
    </row>
    <row r="101" spans="1:3" ht="48.75" customHeight="1">
      <c r="A101" s="218">
        <v>873</v>
      </c>
      <c r="B101" s="218" t="s">
        <v>802</v>
      </c>
      <c r="C101" s="219" t="s">
        <v>1051</v>
      </c>
    </row>
    <row r="102" spans="1:3" ht="61.5" customHeight="1">
      <c r="A102" s="218">
        <v>873</v>
      </c>
      <c r="B102" s="218" t="s">
        <v>970</v>
      </c>
      <c r="C102" s="219" t="s">
        <v>971</v>
      </c>
    </row>
    <row r="103" spans="1:3" ht="63" customHeight="1">
      <c r="A103" s="218">
        <v>873</v>
      </c>
      <c r="B103" s="218" t="s">
        <v>803</v>
      </c>
      <c r="C103" s="219" t="s">
        <v>804</v>
      </c>
    </row>
    <row r="104" spans="1:3" ht="77.25" customHeight="1">
      <c r="A104" s="218">
        <v>873</v>
      </c>
      <c r="B104" s="218" t="s">
        <v>1052</v>
      </c>
      <c r="C104" s="219" t="s">
        <v>1053</v>
      </c>
    </row>
    <row r="105" spans="1:3" ht="94.5">
      <c r="A105" s="218">
        <v>873</v>
      </c>
      <c r="B105" s="218" t="s">
        <v>805</v>
      </c>
      <c r="C105" s="219" t="s">
        <v>806</v>
      </c>
    </row>
    <row r="106" spans="1:3" ht="47.25" customHeight="1">
      <c r="A106" s="218">
        <v>873</v>
      </c>
      <c r="B106" s="218" t="s">
        <v>807</v>
      </c>
      <c r="C106" s="219" t="s">
        <v>808</v>
      </c>
    </row>
    <row r="107" spans="1:3" ht="66.75" customHeight="1">
      <c r="A107" s="218">
        <v>873</v>
      </c>
      <c r="B107" s="218" t="s">
        <v>809</v>
      </c>
      <c r="C107" s="219" t="s">
        <v>810</v>
      </c>
    </row>
    <row r="108" spans="1:3" ht="62.25" customHeight="1">
      <c r="A108" s="218">
        <v>873</v>
      </c>
      <c r="B108" s="218" t="s">
        <v>759</v>
      </c>
      <c r="C108" s="225" t="s">
        <v>760</v>
      </c>
    </row>
    <row r="109" spans="1:3" ht="63">
      <c r="A109" s="218">
        <v>873</v>
      </c>
      <c r="B109" s="218" t="s">
        <v>761</v>
      </c>
      <c r="C109" s="226" t="s">
        <v>762</v>
      </c>
    </row>
    <row r="110" spans="1:3" ht="50.25" customHeight="1">
      <c r="A110" s="218">
        <v>873</v>
      </c>
      <c r="B110" s="218" t="s">
        <v>763</v>
      </c>
      <c r="C110" s="164" t="s">
        <v>764</v>
      </c>
    </row>
    <row r="111" spans="1:3" ht="63">
      <c r="A111" s="218">
        <v>873</v>
      </c>
      <c r="B111" s="218" t="s">
        <v>811</v>
      </c>
      <c r="C111" s="164" t="s">
        <v>812</v>
      </c>
    </row>
    <row r="112" spans="1:3" ht="65.25" customHeight="1">
      <c r="A112" s="218">
        <v>873</v>
      </c>
      <c r="B112" s="218" t="s">
        <v>813</v>
      </c>
      <c r="C112" s="164" t="s">
        <v>814</v>
      </c>
    </row>
    <row r="113" spans="1:3" ht="64.5" customHeight="1">
      <c r="A113" s="218">
        <v>873</v>
      </c>
      <c r="B113" s="218" t="s">
        <v>726</v>
      </c>
      <c r="C113" s="219" t="s">
        <v>748</v>
      </c>
    </row>
    <row r="114" spans="1:3" ht="46.5" customHeight="1">
      <c r="A114" s="216">
        <v>875</v>
      </c>
      <c r="B114" s="216"/>
      <c r="C114" s="217" t="s">
        <v>815</v>
      </c>
    </row>
    <row r="115" spans="1:3" ht="47.25">
      <c r="A115" s="218">
        <v>875</v>
      </c>
      <c r="B115" s="218" t="s">
        <v>752</v>
      </c>
      <c r="C115" s="164" t="s">
        <v>753</v>
      </c>
    </row>
    <row r="116" spans="1:3" ht="62.25" customHeight="1">
      <c r="A116" s="218">
        <v>875</v>
      </c>
      <c r="B116" s="218" t="s">
        <v>759</v>
      </c>
      <c r="C116" s="225" t="s">
        <v>760</v>
      </c>
    </row>
    <row r="117" spans="1:3" ht="63">
      <c r="A117" s="218">
        <v>875</v>
      </c>
      <c r="B117" s="218" t="s">
        <v>761</v>
      </c>
      <c r="C117" s="225" t="s">
        <v>762</v>
      </c>
    </row>
    <row r="118" spans="1:3" ht="47.25">
      <c r="A118" s="218">
        <v>875</v>
      </c>
      <c r="B118" s="218" t="s">
        <v>763</v>
      </c>
      <c r="C118" s="164" t="s">
        <v>764</v>
      </c>
    </row>
    <row r="119" spans="1:3" ht="31.5">
      <c r="A119" s="216">
        <v>892</v>
      </c>
      <c r="B119" s="216"/>
      <c r="C119" s="217" t="s">
        <v>816</v>
      </c>
    </row>
    <row r="120" spans="1:3" ht="31.5">
      <c r="A120" s="218">
        <v>892</v>
      </c>
      <c r="B120" s="218" t="s">
        <v>700</v>
      </c>
      <c r="C120" s="219" t="s">
        <v>701</v>
      </c>
    </row>
    <row r="121" spans="1:3" ht="47.25">
      <c r="A121" s="218">
        <v>892</v>
      </c>
      <c r="B121" s="218" t="s">
        <v>1044</v>
      </c>
      <c r="C121" s="219" t="s">
        <v>1045</v>
      </c>
    </row>
    <row r="122" spans="1:3" ht="31.5">
      <c r="A122" s="218">
        <v>892</v>
      </c>
      <c r="B122" s="218" t="s">
        <v>817</v>
      </c>
      <c r="C122" s="219" t="s">
        <v>745</v>
      </c>
    </row>
    <row r="123" spans="1:3" ht="31.5">
      <c r="A123" s="218">
        <v>892</v>
      </c>
      <c r="B123" s="218" t="s">
        <v>704</v>
      </c>
      <c r="C123" s="219" t="s">
        <v>705</v>
      </c>
    </row>
    <row r="124" spans="1:3" ht="31.5">
      <c r="A124" s="218">
        <v>892</v>
      </c>
      <c r="B124" s="218" t="s">
        <v>818</v>
      </c>
      <c r="C124" s="219" t="s">
        <v>819</v>
      </c>
    </row>
    <row r="125" spans="1:3" ht="110.25" customHeight="1">
      <c r="A125" s="218">
        <v>892</v>
      </c>
      <c r="B125" s="218" t="s">
        <v>820</v>
      </c>
      <c r="C125" s="227" t="s">
        <v>821</v>
      </c>
    </row>
    <row r="126" spans="1:3" ht="63">
      <c r="A126" s="218">
        <v>892</v>
      </c>
      <c r="B126" s="220" t="s">
        <v>726</v>
      </c>
      <c r="C126" s="219" t="s">
        <v>727</v>
      </c>
    </row>
    <row r="129" spans="1:13" s="129" customFormat="1" ht="15.75">
      <c r="A129" s="129" t="s">
        <v>1138</v>
      </c>
      <c r="B129" s="63"/>
      <c r="C129" s="63"/>
      <c r="D129" s="63"/>
      <c r="E129" s="63"/>
      <c r="F129" s="63"/>
      <c r="G129" s="205"/>
      <c r="H129" s="205"/>
      <c r="I129" s="205"/>
      <c r="K129" s="235"/>
      <c r="L129" s="235"/>
      <c r="M129" s="235"/>
    </row>
    <row r="130" spans="1:13" s="129" customFormat="1" ht="15.75">
      <c r="A130" s="129" t="s">
        <v>1139</v>
      </c>
      <c r="B130" s="63"/>
      <c r="C130" s="63"/>
      <c r="D130" s="63"/>
      <c r="E130" s="63"/>
      <c r="F130" s="63"/>
      <c r="G130" s="205"/>
      <c r="H130" s="205"/>
      <c r="I130" s="205"/>
    </row>
    <row r="131" spans="1:13" s="129" customFormat="1" ht="15.75">
      <c r="A131" s="323" t="s">
        <v>1140</v>
      </c>
      <c r="B131" s="323"/>
      <c r="C131" s="323"/>
      <c r="D131" s="63"/>
      <c r="E131" s="63"/>
      <c r="F131" s="63"/>
      <c r="G131" s="205"/>
      <c r="H131" s="205"/>
      <c r="I131" s="205"/>
    </row>
  </sheetData>
  <mergeCells count="6">
    <mergeCell ref="A131:C131"/>
    <mergeCell ref="A10:C10"/>
    <mergeCell ref="A11:C11"/>
    <mergeCell ref="A12:C12"/>
    <mergeCell ref="A15:B15"/>
    <mergeCell ref="C15:C1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8"/>
  <sheetViews>
    <sheetView workbookViewId="0">
      <selection activeCell="H14" sqref="H14"/>
    </sheetView>
  </sheetViews>
  <sheetFormatPr defaultRowHeight="15"/>
  <cols>
    <col min="1" max="1" width="9.7109375" style="211" customWidth="1"/>
    <col min="2" max="2" width="24.7109375" style="211" customWidth="1"/>
    <col min="3" max="3" width="65.7109375" style="211" customWidth="1"/>
    <col min="4" max="4" width="9.140625" style="211"/>
    <col min="5" max="5" width="2.42578125" style="211" customWidth="1"/>
    <col min="6" max="16384" width="9.140625" style="211"/>
  </cols>
  <sheetData>
    <row r="1" spans="1:3">
      <c r="C1" s="171" t="s">
        <v>339</v>
      </c>
    </row>
    <row r="2" spans="1:3">
      <c r="C2" s="168" t="s">
        <v>433</v>
      </c>
    </row>
    <row r="3" spans="1:3">
      <c r="C3" s="15" t="s">
        <v>1119</v>
      </c>
    </row>
    <row r="4" spans="1:3">
      <c r="C4" s="15" t="s">
        <v>1120</v>
      </c>
    </row>
    <row r="5" spans="1:3">
      <c r="C5" s="15" t="s">
        <v>1121</v>
      </c>
    </row>
    <row r="6" spans="1:3">
      <c r="C6" s="169" t="s">
        <v>1122</v>
      </c>
    </row>
    <row r="7" spans="1:3">
      <c r="C7" s="321" t="s">
        <v>1154</v>
      </c>
    </row>
    <row r="9" spans="1:3" ht="15.75">
      <c r="A9" s="324" t="s">
        <v>972</v>
      </c>
      <c r="B9" s="324"/>
      <c r="C9" s="324"/>
    </row>
    <row r="10" spans="1:3" ht="15.75">
      <c r="A10" s="324" t="s">
        <v>973</v>
      </c>
      <c r="B10" s="324"/>
      <c r="C10" s="324"/>
    </row>
    <row r="11" spans="1:3" ht="15.75">
      <c r="A11" s="324" t="s">
        <v>974</v>
      </c>
      <c r="B11" s="324"/>
      <c r="C11" s="324"/>
    </row>
    <row r="12" spans="1:3" ht="15.75">
      <c r="A12" s="324" t="s">
        <v>975</v>
      </c>
      <c r="B12" s="324"/>
      <c r="C12" s="324"/>
    </row>
    <row r="13" spans="1:3" ht="15.75">
      <c r="A13" s="325" t="s">
        <v>976</v>
      </c>
      <c r="B13" s="325"/>
      <c r="C13" s="325"/>
    </row>
    <row r="14" spans="1:3" ht="15.75">
      <c r="A14" s="325" t="s">
        <v>977</v>
      </c>
      <c r="B14" s="325"/>
      <c r="C14" s="325"/>
    </row>
    <row r="15" spans="1:3" ht="15.75">
      <c r="A15" s="4"/>
      <c r="B15" s="4"/>
      <c r="C15" s="291"/>
    </row>
    <row r="16" spans="1:3" ht="36" customHeight="1">
      <c r="A16" s="326" t="s">
        <v>306</v>
      </c>
      <c r="B16" s="326"/>
      <c r="C16" s="326" t="s">
        <v>690</v>
      </c>
    </row>
    <row r="17" spans="1:3" ht="63">
      <c r="A17" s="311" t="s">
        <v>691</v>
      </c>
      <c r="B17" s="311" t="s">
        <v>692</v>
      </c>
      <c r="C17" s="326"/>
    </row>
    <row r="18" spans="1:3" ht="15.75">
      <c r="A18" s="311">
        <v>1</v>
      </c>
      <c r="B18" s="311">
        <v>2</v>
      </c>
      <c r="C18" s="311">
        <v>3</v>
      </c>
    </row>
    <row r="19" spans="1:3" ht="31.5">
      <c r="A19" s="275" t="s">
        <v>978</v>
      </c>
      <c r="B19" s="275"/>
      <c r="C19" s="217" t="s">
        <v>979</v>
      </c>
    </row>
    <row r="20" spans="1:3" ht="31.5">
      <c r="A20" s="276" t="s">
        <v>978</v>
      </c>
      <c r="B20" s="276" t="s">
        <v>980</v>
      </c>
      <c r="C20" s="219" t="s">
        <v>981</v>
      </c>
    </row>
    <row r="21" spans="1:3" ht="63">
      <c r="A21" s="276" t="s">
        <v>978</v>
      </c>
      <c r="B21" s="276" t="s">
        <v>982</v>
      </c>
      <c r="C21" s="277" t="s">
        <v>983</v>
      </c>
    </row>
    <row r="22" spans="1:3" ht="31.5">
      <c r="A22" s="276" t="s">
        <v>978</v>
      </c>
      <c r="B22" s="276" t="s">
        <v>984</v>
      </c>
      <c r="C22" s="219" t="s">
        <v>1054</v>
      </c>
    </row>
    <row r="23" spans="1:3" ht="15.75">
      <c r="A23" s="276" t="s">
        <v>978</v>
      </c>
      <c r="B23" s="276" t="s">
        <v>985</v>
      </c>
      <c r="C23" s="219" t="s">
        <v>986</v>
      </c>
    </row>
    <row r="24" spans="1:3" ht="63">
      <c r="A24" s="276" t="s">
        <v>978</v>
      </c>
      <c r="B24" s="276" t="s">
        <v>987</v>
      </c>
      <c r="C24" s="219" t="s">
        <v>988</v>
      </c>
    </row>
    <row r="25" spans="1:3" ht="63">
      <c r="A25" s="276" t="s">
        <v>978</v>
      </c>
      <c r="B25" s="276" t="s">
        <v>989</v>
      </c>
      <c r="C25" s="177" t="s">
        <v>990</v>
      </c>
    </row>
    <row r="26" spans="1:3" ht="47.25">
      <c r="A26" s="276" t="s">
        <v>978</v>
      </c>
      <c r="B26" s="276" t="s">
        <v>991</v>
      </c>
      <c r="C26" s="219" t="s">
        <v>992</v>
      </c>
    </row>
    <row r="27" spans="1:3" ht="31.5">
      <c r="A27" s="276" t="s">
        <v>978</v>
      </c>
      <c r="B27" s="276" t="s">
        <v>1055</v>
      </c>
      <c r="C27" s="219" t="s">
        <v>1056</v>
      </c>
    </row>
    <row r="28" spans="1:3" ht="47.25">
      <c r="A28" s="276" t="s">
        <v>978</v>
      </c>
      <c r="B28" s="276" t="s">
        <v>1057</v>
      </c>
      <c r="C28" s="219" t="s">
        <v>1058</v>
      </c>
    </row>
    <row r="29" spans="1:3" ht="31.5">
      <c r="A29" s="276" t="s">
        <v>978</v>
      </c>
      <c r="B29" s="276" t="s">
        <v>1059</v>
      </c>
      <c r="C29" s="219" t="s">
        <v>1060</v>
      </c>
    </row>
    <row r="30" spans="1:3" ht="31.5">
      <c r="A30" s="276" t="s">
        <v>978</v>
      </c>
      <c r="B30" s="276" t="s">
        <v>1061</v>
      </c>
      <c r="C30" s="219" t="s">
        <v>1062</v>
      </c>
    </row>
    <row r="31" spans="1:3" ht="31.5">
      <c r="A31" s="276" t="s">
        <v>978</v>
      </c>
      <c r="B31" s="276" t="s">
        <v>1063</v>
      </c>
      <c r="C31" s="219" t="s">
        <v>1064</v>
      </c>
    </row>
    <row r="32" spans="1:3" ht="63" customHeight="1">
      <c r="A32" s="276" t="s">
        <v>978</v>
      </c>
      <c r="B32" s="276" t="s">
        <v>1065</v>
      </c>
      <c r="C32" s="219" t="s">
        <v>1066</v>
      </c>
    </row>
    <row r="33" spans="1:3" ht="35.25" customHeight="1">
      <c r="A33" s="275" t="s">
        <v>993</v>
      </c>
      <c r="B33" s="275"/>
      <c r="C33" s="217" t="s">
        <v>994</v>
      </c>
    </row>
    <row r="34" spans="1:3" ht="47.25">
      <c r="A34" s="276" t="s">
        <v>993</v>
      </c>
      <c r="B34" s="279" t="s">
        <v>1067</v>
      </c>
      <c r="C34" s="219" t="s">
        <v>1045</v>
      </c>
    </row>
    <row r="35" spans="1:3" ht="31.5">
      <c r="A35" s="275" t="s">
        <v>995</v>
      </c>
      <c r="B35" s="275"/>
      <c r="C35" s="217" t="s">
        <v>996</v>
      </c>
    </row>
    <row r="36" spans="1:3" ht="47.25">
      <c r="A36" s="276" t="s">
        <v>995</v>
      </c>
      <c r="B36" s="276" t="s">
        <v>1068</v>
      </c>
      <c r="C36" s="219" t="s">
        <v>1069</v>
      </c>
    </row>
    <row r="37" spans="1:3" ht="67.5" customHeight="1">
      <c r="A37" s="276" t="s">
        <v>995</v>
      </c>
      <c r="B37" s="276" t="s">
        <v>1070</v>
      </c>
      <c r="C37" s="219" t="s">
        <v>1066</v>
      </c>
    </row>
    <row r="38" spans="1:3" ht="47.25">
      <c r="A38" s="276" t="s">
        <v>995</v>
      </c>
      <c r="B38" s="276" t="s">
        <v>1071</v>
      </c>
      <c r="C38" s="219" t="s">
        <v>1045</v>
      </c>
    </row>
    <row r="39" spans="1:3" ht="47.25">
      <c r="A39" s="275" t="s">
        <v>997</v>
      </c>
      <c r="B39" s="275"/>
      <c r="C39" s="217" t="s">
        <v>998</v>
      </c>
    </row>
    <row r="40" spans="1:3" ht="31.5">
      <c r="A40" s="276" t="s">
        <v>997</v>
      </c>
      <c r="B40" s="276" t="s">
        <v>1072</v>
      </c>
      <c r="C40" s="219" t="s">
        <v>1064</v>
      </c>
    </row>
    <row r="41" spans="1:3" ht="66.75" customHeight="1">
      <c r="A41" s="276" t="s">
        <v>997</v>
      </c>
      <c r="B41" s="276" t="s">
        <v>1073</v>
      </c>
      <c r="C41" s="219" t="s">
        <v>1066</v>
      </c>
    </row>
    <row r="42" spans="1:3" ht="47.25">
      <c r="A42" s="276" t="s">
        <v>997</v>
      </c>
      <c r="B42" s="279" t="s">
        <v>1067</v>
      </c>
      <c r="C42" s="219" t="s">
        <v>1045</v>
      </c>
    </row>
    <row r="43" spans="1:3" ht="47.25">
      <c r="A43" s="275" t="s">
        <v>1074</v>
      </c>
      <c r="B43" s="278"/>
      <c r="C43" s="217" t="s">
        <v>1075</v>
      </c>
    </row>
    <row r="44" spans="1:3" ht="47.25">
      <c r="A44" s="276" t="s">
        <v>1074</v>
      </c>
      <c r="B44" s="279" t="s">
        <v>1067</v>
      </c>
      <c r="C44" s="219" t="s">
        <v>1045</v>
      </c>
    </row>
    <row r="45" spans="1:3" ht="31.5">
      <c r="A45" s="275" t="s">
        <v>483</v>
      </c>
      <c r="B45" s="278"/>
      <c r="C45" s="217" t="s">
        <v>999</v>
      </c>
    </row>
    <row r="46" spans="1:3" ht="78.75">
      <c r="A46" s="276" t="s">
        <v>483</v>
      </c>
      <c r="B46" s="279" t="s">
        <v>1000</v>
      </c>
      <c r="C46" s="219" t="s">
        <v>1001</v>
      </c>
    </row>
    <row r="47" spans="1:3" ht="94.5">
      <c r="A47" s="276" t="s">
        <v>483</v>
      </c>
      <c r="B47" s="279" t="s">
        <v>1002</v>
      </c>
      <c r="C47" s="219" t="s">
        <v>1003</v>
      </c>
    </row>
    <row r="48" spans="1:3" ht="78.75">
      <c r="A48" s="276" t="s">
        <v>483</v>
      </c>
      <c r="B48" s="279" t="s">
        <v>1004</v>
      </c>
      <c r="C48" s="219" t="s">
        <v>1005</v>
      </c>
    </row>
    <row r="49" spans="1:3" ht="78.75">
      <c r="A49" s="276" t="s">
        <v>483</v>
      </c>
      <c r="B49" s="279" t="s">
        <v>1006</v>
      </c>
      <c r="C49" s="219" t="s">
        <v>1007</v>
      </c>
    </row>
    <row r="50" spans="1:3" ht="47.25">
      <c r="A50" s="275" t="s">
        <v>1008</v>
      </c>
      <c r="B50" s="275"/>
      <c r="C50" s="217" t="s">
        <v>1009</v>
      </c>
    </row>
    <row r="51" spans="1:3" ht="63">
      <c r="A51" s="276" t="s">
        <v>1008</v>
      </c>
      <c r="B51" s="276" t="s">
        <v>1076</v>
      </c>
      <c r="C51" s="219" t="s">
        <v>1077</v>
      </c>
    </row>
    <row r="52" spans="1:3" ht="63">
      <c r="A52" s="276" t="s">
        <v>1008</v>
      </c>
      <c r="B52" s="276" t="s">
        <v>1078</v>
      </c>
      <c r="C52" s="277" t="s">
        <v>1079</v>
      </c>
    </row>
    <row r="53" spans="1:3" ht="65.25" customHeight="1">
      <c r="A53" s="276" t="s">
        <v>1008</v>
      </c>
      <c r="B53" s="276" t="s">
        <v>1073</v>
      </c>
      <c r="C53" s="219" t="s">
        <v>1066</v>
      </c>
    </row>
    <row r="54" spans="1:3" ht="47.25">
      <c r="A54" s="276" t="s">
        <v>1008</v>
      </c>
      <c r="B54" s="279" t="s">
        <v>1067</v>
      </c>
      <c r="C54" s="219" t="s">
        <v>1045</v>
      </c>
    </row>
    <row r="55" spans="1:3" ht="47.25">
      <c r="A55" s="278">
        <v>141</v>
      </c>
      <c r="B55" s="278"/>
      <c r="C55" s="217" t="s">
        <v>1010</v>
      </c>
    </row>
    <row r="56" spans="1:3" ht="63">
      <c r="A56" s="279">
        <v>141</v>
      </c>
      <c r="B56" s="279" t="s">
        <v>1080</v>
      </c>
      <c r="C56" s="219" t="s">
        <v>1081</v>
      </c>
    </row>
    <row r="57" spans="1:3" ht="47.25">
      <c r="A57" s="279">
        <v>141</v>
      </c>
      <c r="B57" s="279" t="s">
        <v>1082</v>
      </c>
      <c r="C57" s="219" t="s">
        <v>1083</v>
      </c>
    </row>
    <row r="58" spans="1:3" ht="31.5">
      <c r="A58" s="279">
        <v>141</v>
      </c>
      <c r="B58" s="276" t="s">
        <v>1061</v>
      </c>
      <c r="C58" s="219" t="s">
        <v>1062</v>
      </c>
    </row>
    <row r="59" spans="1:3" ht="63">
      <c r="A59" s="279">
        <v>141</v>
      </c>
      <c r="B59" s="279" t="s">
        <v>1084</v>
      </c>
      <c r="C59" s="219" t="s">
        <v>1085</v>
      </c>
    </row>
    <row r="60" spans="1:3" ht="47.25">
      <c r="A60" s="279">
        <v>141</v>
      </c>
      <c r="B60" s="279" t="s">
        <v>1067</v>
      </c>
      <c r="C60" s="219" t="s">
        <v>1045</v>
      </c>
    </row>
    <row r="61" spans="1:3" ht="31.5">
      <c r="A61" s="278">
        <v>153</v>
      </c>
      <c r="B61" s="278"/>
      <c r="C61" s="292" t="s">
        <v>1011</v>
      </c>
    </row>
    <row r="62" spans="1:3" ht="63" customHeight="1">
      <c r="A62" s="279">
        <v>153</v>
      </c>
      <c r="B62" s="276" t="s">
        <v>1073</v>
      </c>
      <c r="C62" s="219" t="s">
        <v>1066</v>
      </c>
    </row>
    <row r="63" spans="1:3" ht="15.75">
      <c r="A63" s="278">
        <v>157</v>
      </c>
      <c r="B63" s="278"/>
      <c r="C63" s="217" t="s">
        <v>1012</v>
      </c>
    </row>
    <row r="64" spans="1:3" ht="47.25">
      <c r="A64" s="279">
        <v>157</v>
      </c>
      <c r="B64" s="279" t="s">
        <v>1071</v>
      </c>
      <c r="C64" s="219" t="s">
        <v>1045</v>
      </c>
    </row>
    <row r="65" spans="1:3" ht="47.25">
      <c r="A65" s="278">
        <v>160</v>
      </c>
      <c r="B65" s="278"/>
      <c r="C65" s="217" t="s">
        <v>1013</v>
      </c>
    </row>
    <row r="66" spans="1:3" ht="63">
      <c r="A66" s="279">
        <v>160</v>
      </c>
      <c r="B66" s="279" t="s">
        <v>1080</v>
      </c>
      <c r="C66" s="219" t="s">
        <v>1081</v>
      </c>
    </row>
    <row r="67" spans="1:3" ht="62.25" customHeight="1">
      <c r="A67" s="279">
        <v>160</v>
      </c>
      <c r="B67" s="276" t="s">
        <v>1073</v>
      </c>
      <c r="C67" s="219" t="s">
        <v>1066</v>
      </c>
    </row>
    <row r="68" spans="1:3" ht="31.5">
      <c r="A68" s="278">
        <v>161</v>
      </c>
      <c r="B68" s="278"/>
      <c r="C68" s="217" t="s">
        <v>1086</v>
      </c>
    </row>
    <row r="69" spans="1:3" ht="110.25">
      <c r="A69" s="279">
        <v>161</v>
      </c>
      <c r="B69" s="279" t="s">
        <v>1087</v>
      </c>
      <c r="C69" s="219" t="s">
        <v>1088</v>
      </c>
    </row>
    <row r="70" spans="1:3" ht="31.5">
      <c r="A70" s="278">
        <v>180</v>
      </c>
      <c r="B70" s="278"/>
      <c r="C70" s="217" t="s">
        <v>1014</v>
      </c>
    </row>
    <row r="71" spans="1:3" ht="47.25">
      <c r="A71" s="279">
        <v>180</v>
      </c>
      <c r="B71" s="279" t="s">
        <v>1071</v>
      </c>
      <c r="C71" s="219" t="s">
        <v>1045</v>
      </c>
    </row>
    <row r="72" spans="1:3" ht="31.5">
      <c r="A72" s="278">
        <v>182</v>
      </c>
      <c r="B72" s="278"/>
      <c r="C72" s="217" t="s">
        <v>1015</v>
      </c>
    </row>
    <row r="73" spans="1:3" ht="15.75">
      <c r="A73" s="279">
        <v>182</v>
      </c>
      <c r="B73" s="279" t="s">
        <v>1016</v>
      </c>
      <c r="C73" s="219" t="s">
        <v>830</v>
      </c>
    </row>
    <row r="74" spans="1:3" ht="31.5">
      <c r="A74" s="279">
        <v>182</v>
      </c>
      <c r="B74" s="279" t="s">
        <v>1017</v>
      </c>
      <c r="C74" s="219" t="s">
        <v>837</v>
      </c>
    </row>
    <row r="75" spans="1:3" ht="15.75">
      <c r="A75" s="279">
        <v>182</v>
      </c>
      <c r="B75" s="279" t="s">
        <v>1018</v>
      </c>
      <c r="C75" s="219" t="s">
        <v>839</v>
      </c>
    </row>
    <row r="76" spans="1:3" ht="31.5">
      <c r="A76" s="279">
        <v>182</v>
      </c>
      <c r="B76" s="279" t="s">
        <v>1019</v>
      </c>
      <c r="C76" s="219" t="s">
        <v>1020</v>
      </c>
    </row>
    <row r="77" spans="1:3" ht="47.25">
      <c r="A77" s="279">
        <v>182</v>
      </c>
      <c r="B77" s="279" t="s">
        <v>1021</v>
      </c>
      <c r="C77" s="219" t="s">
        <v>1022</v>
      </c>
    </row>
    <row r="78" spans="1:3" ht="31.5">
      <c r="A78" s="279">
        <v>182</v>
      </c>
      <c r="B78" s="279" t="s">
        <v>844</v>
      </c>
      <c r="C78" s="219" t="s">
        <v>845</v>
      </c>
    </row>
    <row r="79" spans="1:3" ht="31.5">
      <c r="A79" s="279">
        <v>182</v>
      </c>
      <c r="B79" s="279" t="s">
        <v>1023</v>
      </c>
      <c r="C79" s="219" t="s">
        <v>847</v>
      </c>
    </row>
    <row r="80" spans="1:3" ht="47.25">
      <c r="A80" s="279">
        <v>182</v>
      </c>
      <c r="B80" s="279" t="s">
        <v>1024</v>
      </c>
      <c r="C80" s="219" t="s">
        <v>1025</v>
      </c>
    </row>
    <row r="81" spans="1:3" ht="31.5">
      <c r="A81" s="279">
        <v>182</v>
      </c>
      <c r="B81" s="279" t="s">
        <v>1026</v>
      </c>
      <c r="C81" s="219" t="s">
        <v>1027</v>
      </c>
    </row>
    <row r="82" spans="1:3" ht="31.5">
      <c r="A82" s="279">
        <v>182</v>
      </c>
      <c r="B82" s="279" t="s">
        <v>1089</v>
      </c>
      <c r="C82" s="219" t="s">
        <v>1090</v>
      </c>
    </row>
    <row r="83" spans="1:3" ht="63">
      <c r="A83" s="279">
        <v>182</v>
      </c>
      <c r="B83" s="279" t="s">
        <v>1091</v>
      </c>
      <c r="C83" s="219" t="s">
        <v>1092</v>
      </c>
    </row>
    <row r="84" spans="1:3" ht="80.25" customHeight="1">
      <c r="A84" s="279">
        <v>182</v>
      </c>
      <c r="B84" s="293" t="s">
        <v>1093</v>
      </c>
      <c r="C84" s="294" t="s">
        <v>1094</v>
      </c>
    </row>
    <row r="85" spans="1:3" ht="31.5">
      <c r="A85" s="278">
        <v>188</v>
      </c>
      <c r="B85" s="278"/>
      <c r="C85" s="217" t="s">
        <v>1028</v>
      </c>
    </row>
    <row r="86" spans="1:3" ht="63">
      <c r="A86" s="279">
        <v>188</v>
      </c>
      <c r="B86" s="279" t="s">
        <v>1080</v>
      </c>
      <c r="C86" s="219" t="s">
        <v>1081</v>
      </c>
    </row>
    <row r="87" spans="1:3" ht="47.25">
      <c r="A87" s="279">
        <v>188</v>
      </c>
      <c r="B87" s="279" t="s">
        <v>1082</v>
      </c>
      <c r="C87" s="219" t="s">
        <v>1083</v>
      </c>
    </row>
    <row r="88" spans="1:3" ht="31.5">
      <c r="A88" s="279">
        <v>188</v>
      </c>
      <c r="B88" s="276" t="s">
        <v>1061</v>
      </c>
      <c r="C88" s="219" t="s">
        <v>1062</v>
      </c>
    </row>
    <row r="89" spans="1:3" ht="63">
      <c r="A89" s="279">
        <v>188</v>
      </c>
      <c r="B89" s="279" t="s">
        <v>1084</v>
      </c>
      <c r="C89" s="219" t="s">
        <v>1085</v>
      </c>
    </row>
    <row r="90" spans="1:3" ht="63">
      <c r="A90" s="279">
        <v>188</v>
      </c>
      <c r="B90" s="279" t="s">
        <v>1095</v>
      </c>
      <c r="C90" s="219" t="s">
        <v>1085</v>
      </c>
    </row>
    <row r="91" spans="1:3" ht="31.5">
      <c r="A91" s="279">
        <v>188</v>
      </c>
      <c r="B91" s="279" t="s">
        <v>1096</v>
      </c>
      <c r="C91" s="219" t="s">
        <v>1097</v>
      </c>
    </row>
    <row r="92" spans="1:3" ht="64.5" customHeight="1">
      <c r="A92" s="279">
        <v>188</v>
      </c>
      <c r="B92" s="276" t="s">
        <v>1073</v>
      </c>
      <c r="C92" s="219" t="s">
        <v>1066</v>
      </c>
    </row>
    <row r="93" spans="1:3" ht="47.25">
      <c r="A93" s="279">
        <v>188</v>
      </c>
      <c r="B93" s="279" t="s">
        <v>1067</v>
      </c>
      <c r="C93" s="219" t="s">
        <v>1045</v>
      </c>
    </row>
    <row r="94" spans="1:3" ht="31.5">
      <c r="A94" s="278">
        <v>318</v>
      </c>
      <c r="B94" s="278"/>
      <c r="C94" s="217" t="s">
        <v>1029</v>
      </c>
    </row>
    <row r="95" spans="1:3" ht="47.25">
      <c r="A95" s="279">
        <v>318</v>
      </c>
      <c r="B95" s="279" t="s">
        <v>1067</v>
      </c>
      <c r="C95" s="219" t="s">
        <v>1045</v>
      </c>
    </row>
    <row r="96" spans="1:3" ht="47.25">
      <c r="A96" s="278">
        <v>321</v>
      </c>
      <c r="B96" s="279"/>
      <c r="C96" s="217" t="s">
        <v>1030</v>
      </c>
    </row>
    <row r="97" spans="1:3" ht="31.5">
      <c r="A97" s="279">
        <v>321</v>
      </c>
      <c r="B97" s="276" t="s">
        <v>1072</v>
      </c>
      <c r="C97" s="219" t="s">
        <v>1064</v>
      </c>
    </row>
    <row r="98" spans="1:3" ht="47.25">
      <c r="A98" s="279">
        <v>321</v>
      </c>
      <c r="B98" s="276" t="s">
        <v>1071</v>
      </c>
      <c r="C98" s="219" t="s">
        <v>1098</v>
      </c>
    </row>
    <row r="99" spans="1:3" ht="31.5">
      <c r="A99" s="278">
        <v>322</v>
      </c>
      <c r="B99" s="275"/>
      <c r="C99" s="292" t="s">
        <v>1031</v>
      </c>
    </row>
    <row r="100" spans="1:3" ht="63.75" customHeight="1">
      <c r="A100" s="279">
        <v>322</v>
      </c>
      <c r="B100" s="276" t="s">
        <v>1073</v>
      </c>
      <c r="C100" s="219" t="s">
        <v>1066</v>
      </c>
    </row>
    <row r="101" spans="1:3" ht="31.5">
      <c r="A101" s="278">
        <v>498</v>
      </c>
      <c r="B101" s="278"/>
      <c r="C101" s="217" t="s">
        <v>1032</v>
      </c>
    </row>
    <row r="102" spans="1:3" ht="31.5">
      <c r="A102" s="279">
        <v>498</v>
      </c>
      <c r="B102" s="279" t="s">
        <v>1099</v>
      </c>
      <c r="C102" s="219" t="s">
        <v>1100</v>
      </c>
    </row>
    <row r="103" spans="1:3" ht="64.5" customHeight="1">
      <c r="A103" s="279">
        <v>498</v>
      </c>
      <c r="B103" s="276" t="s">
        <v>1073</v>
      </c>
      <c r="C103" s="219" t="s">
        <v>1066</v>
      </c>
    </row>
    <row r="104" spans="1:3" ht="31.5">
      <c r="A104" s="279">
        <v>498</v>
      </c>
      <c r="B104" s="279" t="s">
        <v>1101</v>
      </c>
      <c r="C104" s="219" t="s">
        <v>1102</v>
      </c>
    </row>
    <row r="105" spans="1:3" ht="31.5">
      <c r="A105" s="278">
        <v>925</v>
      </c>
      <c r="B105" s="278"/>
      <c r="C105" s="217" t="s">
        <v>1103</v>
      </c>
    </row>
    <row r="106" spans="1:3" ht="47.25">
      <c r="A106" s="279">
        <v>925</v>
      </c>
      <c r="B106" s="279" t="s">
        <v>1104</v>
      </c>
      <c r="C106" s="219" t="s">
        <v>1045</v>
      </c>
    </row>
    <row r="107" spans="1:3" ht="31.5">
      <c r="A107" s="278">
        <v>932</v>
      </c>
      <c r="B107" s="278"/>
      <c r="C107" s="280" t="s">
        <v>1105</v>
      </c>
    </row>
    <row r="108" spans="1:3" ht="47.25">
      <c r="A108" s="279">
        <v>932</v>
      </c>
      <c r="B108" s="279" t="s">
        <v>1044</v>
      </c>
      <c r="C108" s="219" t="s">
        <v>1045</v>
      </c>
    </row>
    <row r="109" spans="1:3" ht="31.5">
      <c r="A109" s="278">
        <v>949</v>
      </c>
      <c r="B109" s="278"/>
      <c r="C109" s="217" t="s">
        <v>1033</v>
      </c>
    </row>
    <row r="110" spans="1:3" ht="31.5">
      <c r="A110" s="279">
        <v>949</v>
      </c>
      <c r="B110" s="276" t="s">
        <v>1106</v>
      </c>
      <c r="C110" s="219" t="s">
        <v>1056</v>
      </c>
    </row>
    <row r="111" spans="1:3" ht="47.25">
      <c r="A111" s="279">
        <v>949</v>
      </c>
      <c r="B111" s="276" t="s">
        <v>1107</v>
      </c>
      <c r="C111" s="219" t="s">
        <v>1069</v>
      </c>
    </row>
    <row r="112" spans="1:3" ht="31.5">
      <c r="A112" s="279">
        <v>949</v>
      </c>
      <c r="B112" s="279" t="s">
        <v>1108</v>
      </c>
      <c r="C112" s="219" t="s">
        <v>1062</v>
      </c>
    </row>
    <row r="113" spans="1:13" ht="66.75" customHeight="1">
      <c r="A113" s="279">
        <v>949</v>
      </c>
      <c r="B113" s="279" t="s">
        <v>1109</v>
      </c>
      <c r="C113" s="219" t="s">
        <v>1110</v>
      </c>
    </row>
    <row r="114" spans="1:13" ht="15.75">
      <c r="A114" s="295"/>
      <c r="B114" s="295"/>
      <c r="C114" s="296"/>
    </row>
    <row r="115" spans="1:13" ht="15.75">
      <c r="A115" s="3"/>
      <c r="B115" s="3"/>
      <c r="C115" s="3"/>
    </row>
    <row r="116" spans="1:13" s="129" customFormat="1" ht="15.75">
      <c r="A116" s="129" t="s">
        <v>1138</v>
      </c>
      <c r="B116" s="63"/>
      <c r="C116" s="63"/>
      <c r="D116" s="63"/>
      <c r="E116" s="63"/>
      <c r="F116" s="63"/>
      <c r="G116" s="205"/>
      <c r="H116" s="205"/>
      <c r="I116" s="205"/>
      <c r="K116" s="235"/>
      <c r="L116" s="235"/>
      <c r="M116" s="235"/>
    </row>
    <row r="117" spans="1:13" s="129" customFormat="1" ht="15.75">
      <c r="A117" s="129" t="s">
        <v>1141</v>
      </c>
      <c r="B117" s="63"/>
      <c r="C117" s="63"/>
      <c r="D117" s="63"/>
      <c r="E117" s="63"/>
      <c r="F117" s="63"/>
      <c r="G117" s="205"/>
      <c r="H117" s="205"/>
      <c r="I117" s="205"/>
    </row>
    <row r="118" spans="1:13" s="129" customFormat="1" ht="15.75">
      <c r="A118" s="323" t="s">
        <v>1142</v>
      </c>
      <c r="B118" s="323"/>
      <c r="C118" s="323"/>
      <c r="D118" s="63"/>
      <c r="E118" s="63"/>
      <c r="F118" s="63"/>
      <c r="G118" s="205"/>
      <c r="H118" s="205"/>
      <c r="I118" s="205"/>
    </row>
  </sheetData>
  <mergeCells count="9">
    <mergeCell ref="A9:C9"/>
    <mergeCell ref="A10:C10"/>
    <mergeCell ref="A11:C11"/>
    <mergeCell ref="A12:C12"/>
    <mergeCell ref="A118:C118"/>
    <mergeCell ref="A13:C13"/>
    <mergeCell ref="A14:C14"/>
    <mergeCell ref="A16:B16"/>
    <mergeCell ref="C16:C17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E7" sqref="E7"/>
    </sheetView>
  </sheetViews>
  <sheetFormatPr defaultColWidth="8.85546875" defaultRowHeight="12.75"/>
  <cols>
    <col min="1" max="1" width="26.140625" style="14" customWidth="1"/>
    <col min="2" max="2" width="58.5703125" style="14" customWidth="1"/>
    <col min="3" max="5" width="15.85546875" style="14" customWidth="1"/>
    <col min="6" max="6" width="8.85546875" style="14"/>
    <col min="7" max="7" width="11.28515625" style="14" bestFit="1" customWidth="1"/>
    <col min="8" max="16384" width="8.85546875" style="14"/>
  </cols>
  <sheetData>
    <row r="1" spans="1:8">
      <c r="A1" s="13"/>
      <c r="B1" s="171"/>
      <c r="C1" s="171"/>
      <c r="D1" s="171"/>
      <c r="E1" s="171" t="s">
        <v>1123</v>
      </c>
    </row>
    <row r="2" spans="1:8">
      <c r="A2" s="13"/>
      <c r="B2" s="168"/>
      <c r="C2" s="168"/>
      <c r="D2" s="168"/>
      <c r="E2" s="168" t="s">
        <v>433</v>
      </c>
    </row>
    <row r="3" spans="1:8">
      <c r="A3" s="13"/>
      <c r="B3" s="15"/>
      <c r="C3" s="15"/>
      <c r="D3" s="15"/>
      <c r="E3" s="15" t="s">
        <v>1119</v>
      </c>
    </row>
    <row r="4" spans="1:8">
      <c r="A4" s="13"/>
      <c r="C4" s="98"/>
      <c r="D4" s="98"/>
      <c r="E4" s="15" t="s">
        <v>1120</v>
      </c>
    </row>
    <row r="5" spans="1:8">
      <c r="A5" s="13"/>
      <c r="C5" s="98"/>
      <c r="D5" s="98"/>
      <c r="E5" s="15" t="s">
        <v>1121</v>
      </c>
    </row>
    <row r="6" spans="1:8">
      <c r="A6" s="13"/>
      <c r="B6" s="169"/>
      <c r="C6" s="169"/>
      <c r="D6" s="169"/>
      <c r="E6" s="169" t="s">
        <v>1122</v>
      </c>
    </row>
    <row r="7" spans="1:8">
      <c r="A7" s="13"/>
      <c r="E7" s="321" t="s">
        <v>1155</v>
      </c>
      <c r="F7" s="9"/>
      <c r="G7" s="9"/>
      <c r="H7" s="9"/>
    </row>
    <row r="8" spans="1:8" ht="18.600000000000001" customHeight="1">
      <c r="A8" s="13"/>
      <c r="B8" s="169"/>
      <c r="C8" s="169"/>
    </row>
    <row r="9" spans="1:8" s="3" customFormat="1" ht="15.75">
      <c r="A9" s="324" t="s">
        <v>822</v>
      </c>
      <c r="B9" s="324"/>
      <c r="C9" s="324"/>
      <c r="D9" s="324"/>
      <c r="E9" s="324"/>
    </row>
    <row r="10" spans="1:8" s="3" customFormat="1" ht="15.75">
      <c r="A10" s="324" t="s">
        <v>823</v>
      </c>
      <c r="B10" s="324"/>
      <c r="C10" s="324"/>
      <c r="D10" s="324"/>
      <c r="E10" s="324"/>
    </row>
    <row r="11" spans="1:8" s="3" customFormat="1" ht="15.75">
      <c r="A11" s="325" t="s">
        <v>1111</v>
      </c>
      <c r="B11" s="325"/>
      <c r="C11" s="325"/>
      <c r="D11" s="325"/>
      <c r="E11" s="325"/>
    </row>
    <row r="12" spans="1:8" s="3" customFormat="1" ht="14.25" customHeight="1">
      <c r="A12" s="210"/>
      <c r="B12" s="210"/>
      <c r="C12" s="210"/>
      <c r="D12" s="210"/>
      <c r="E12" s="210"/>
    </row>
    <row r="13" spans="1:8" s="3" customFormat="1" ht="15" customHeight="1">
      <c r="A13" s="328"/>
      <c r="B13" s="328"/>
      <c r="C13" s="228"/>
      <c r="D13" s="329" t="s">
        <v>824</v>
      </c>
      <c r="E13" s="329"/>
      <c r="G13" s="297"/>
    </row>
    <row r="14" spans="1:8" s="3" customFormat="1" ht="47.25">
      <c r="A14" s="311" t="s">
        <v>825</v>
      </c>
      <c r="B14" s="178" t="s">
        <v>826</v>
      </c>
      <c r="C14" s="311" t="s">
        <v>1112</v>
      </c>
      <c r="D14" s="178" t="s">
        <v>622</v>
      </c>
      <c r="E14" s="178" t="s">
        <v>665</v>
      </c>
    </row>
    <row r="15" spans="1:8" s="3" customFormat="1" ht="15.75">
      <c r="A15" s="311">
        <v>1</v>
      </c>
      <c r="B15" s="178">
        <v>2</v>
      </c>
      <c r="C15" s="311">
        <v>3</v>
      </c>
      <c r="D15" s="178">
        <v>4</v>
      </c>
      <c r="E15" s="178">
        <v>5</v>
      </c>
    </row>
    <row r="16" spans="1:8" s="3" customFormat="1" ht="16.5" customHeight="1">
      <c r="A16" s="178" t="s">
        <v>827</v>
      </c>
      <c r="B16" s="229" t="s">
        <v>828</v>
      </c>
      <c r="C16" s="230">
        <f>C17+C18+C21+C22+C23+C24+C25+C26+C27</f>
        <v>1723488.9</v>
      </c>
      <c r="D16" s="231">
        <f>D17+D18+D21+D22+D23+D24+D25+D26+D27</f>
        <v>1789691.4</v>
      </c>
      <c r="E16" s="231">
        <f>E17+E18+E21+E22+E23+E24+E25+E26+E27</f>
        <v>1859199.0999999999</v>
      </c>
    </row>
    <row r="17" spans="1:5" s="3" customFormat="1" ht="16.5" customHeight="1">
      <c r="A17" s="178" t="s">
        <v>829</v>
      </c>
      <c r="B17" s="229" t="s">
        <v>830</v>
      </c>
      <c r="C17" s="230">
        <v>970330.1</v>
      </c>
      <c r="D17" s="231">
        <v>1018134.8</v>
      </c>
      <c r="E17" s="231">
        <v>1058860.2</v>
      </c>
    </row>
    <row r="18" spans="1:5" s="3" customFormat="1" ht="29.25" customHeight="1">
      <c r="A18" s="311" t="s">
        <v>831</v>
      </c>
      <c r="B18" s="179" t="s">
        <v>832</v>
      </c>
      <c r="C18" s="230">
        <f>C20</f>
        <v>14330.7</v>
      </c>
      <c r="D18" s="231">
        <f>D20</f>
        <v>14330.7</v>
      </c>
      <c r="E18" s="231">
        <f>E20</f>
        <v>14903.9</v>
      </c>
    </row>
    <row r="19" spans="1:5" s="3" customFormat="1" ht="15.75">
      <c r="A19" s="311"/>
      <c r="B19" s="179" t="s">
        <v>833</v>
      </c>
      <c r="C19" s="230"/>
      <c r="D19" s="231"/>
      <c r="E19" s="231"/>
    </row>
    <row r="20" spans="1:5" s="3" customFormat="1" ht="64.900000000000006" customHeight="1">
      <c r="A20" s="311" t="s">
        <v>834</v>
      </c>
      <c r="B20" s="179" t="s">
        <v>835</v>
      </c>
      <c r="C20" s="230">
        <v>14330.7</v>
      </c>
      <c r="D20" s="231">
        <v>14330.7</v>
      </c>
      <c r="E20" s="231">
        <v>14903.9</v>
      </c>
    </row>
    <row r="21" spans="1:5" s="3" customFormat="1" ht="31.5">
      <c r="A21" s="311" t="s">
        <v>836</v>
      </c>
      <c r="B21" s="180" t="s">
        <v>837</v>
      </c>
      <c r="C21" s="230">
        <v>70000</v>
      </c>
      <c r="D21" s="231">
        <v>65000</v>
      </c>
      <c r="E21" s="231">
        <v>67600</v>
      </c>
    </row>
    <row r="22" spans="1:5" s="3" customFormat="1" ht="18" customHeight="1">
      <c r="A22" s="311" t="s">
        <v>838</v>
      </c>
      <c r="B22" s="180" t="s">
        <v>839</v>
      </c>
      <c r="C22" s="230">
        <v>4198</v>
      </c>
      <c r="D22" s="231">
        <v>3000</v>
      </c>
      <c r="E22" s="231">
        <v>3120</v>
      </c>
    </row>
    <row r="23" spans="1:5" s="3" customFormat="1" ht="47.25">
      <c r="A23" s="311" t="s">
        <v>840</v>
      </c>
      <c r="B23" s="180" t="s">
        <v>841</v>
      </c>
      <c r="C23" s="230">
        <v>4742</v>
      </c>
      <c r="D23" s="231">
        <v>5000</v>
      </c>
      <c r="E23" s="231">
        <v>5200</v>
      </c>
    </row>
    <row r="24" spans="1:5" s="3" customFormat="1" ht="47.25">
      <c r="A24" s="311" t="s">
        <v>842</v>
      </c>
      <c r="B24" s="180" t="s">
        <v>843</v>
      </c>
      <c r="C24" s="230">
        <v>22500</v>
      </c>
      <c r="D24" s="231">
        <v>35000</v>
      </c>
      <c r="E24" s="231">
        <v>36400</v>
      </c>
    </row>
    <row r="25" spans="1:5" s="3" customFormat="1" ht="31.5">
      <c r="A25" s="311" t="s">
        <v>844</v>
      </c>
      <c r="B25" s="180" t="s">
        <v>845</v>
      </c>
      <c r="C25" s="230">
        <v>108810.2</v>
      </c>
      <c r="D25" s="231">
        <v>114000</v>
      </c>
      <c r="E25" s="231">
        <v>118560</v>
      </c>
    </row>
    <row r="26" spans="1:5" s="3" customFormat="1" ht="47.25">
      <c r="A26" s="311" t="s">
        <v>846</v>
      </c>
      <c r="B26" s="180" t="s">
        <v>847</v>
      </c>
      <c r="C26" s="230">
        <v>14837.8</v>
      </c>
      <c r="D26" s="231">
        <v>16000</v>
      </c>
      <c r="E26" s="231">
        <v>16640</v>
      </c>
    </row>
    <row r="27" spans="1:5" s="3" customFormat="1" ht="15.75" customHeight="1">
      <c r="A27" s="311"/>
      <c r="B27" s="229" t="s">
        <v>848</v>
      </c>
      <c r="C27" s="230">
        <f>513299.1+441</f>
        <v>513740.1</v>
      </c>
      <c r="D27" s="231">
        <v>519225.9</v>
      </c>
      <c r="E27" s="231">
        <v>537915</v>
      </c>
    </row>
    <row r="28" spans="1:5" s="3" customFormat="1" ht="15.75" customHeight="1">
      <c r="A28" s="178" t="s">
        <v>849</v>
      </c>
      <c r="B28" s="298" t="s">
        <v>850</v>
      </c>
      <c r="C28" s="230">
        <f>C29+C36+C37</f>
        <v>2539632.6</v>
      </c>
      <c r="D28" s="230">
        <f>D29+D36+D37</f>
        <v>2227059.2000000002</v>
      </c>
      <c r="E28" s="230">
        <f>E29+E36+E37</f>
        <v>2219009.5</v>
      </c>
    </row>
    <row r="29" spans="1:5" s="3" customFormat="1" ht="28.5" customHeight="1">
      <c r="A29" s="178" t="s">
        <v>851</v>
      </c>
      <c r="B29" s="232" t="s">
        <v>852</v>
      </c>
      <c r="C29" s="230">
        <f>SUM(C30+C31+C32+C33)</f>
        <v>2539090.4</v>
      </c>
      <c r="D29" s="231">
        <f>D30+D31+D32+D33</f>
        <v>2227059.2000000002</v>
      </c>
      <c r="E29" s="231">
        <f>E30+E31+E32+E33</f>
        <v>2219009.5</v>
      </c>
    </row>
    <row r="30" spans="1:5" s="3" customFormat="1" ht="29.25" customHeight="1">
      <c r="A30" s="178" t="s">
        <v>853</v>
      </c>
      <c r="B30" s="232" t="s">
        <v>854</v>
      </c>
      <c r="C30" s="230">
        <v>12232.1</v>
      </c>
      <c r="D30" s="231">
        <v>0</v>
      </c>
      <c r="E30" s="231">
        <v>0</v>
      </c>
    </row>
    <row r="31" spans="1:5" s="3" customFormat="1" ht="31.5">
      <c r="A31" s="311" t="s">
        <v>855</v>
      </c>
      <c r="B31" s="180" t="s">
        <v>856</v>
      </c>
      <c r="C31" s="230">
        <v>313640.59999999998</v>
      </c>
      <c r="D31" s="231">
        <v>485493.5</v>
      </c>
      <c r="E31" s="231">
        <v>473045.1</v>
      </c>
    </row>
    <row r="32" spans="1:5" s="3" customFormat="1" ht="34.5" customHeight="1">
      <c r="A32" s="311" t="s">
        <v>857</v>
      </c>
      <c r="B32" s="180" t="s">
        <v>858</v>
      </c>
      <c r="C32" s="230">
        <v>1779799.8</v>
      </c>
      <c r="D32" s="231">
        <v>1740139.6</v>
      </c>
      <c r="E32" s="231">
        <v>1744538.3</v>
      </c>
    </row>
    <row r="33" spans="1:5" s="3" customFormat="1" ht="17.25" customHeight="1">
      <c r="A33" s="311" t="s">
        <v>859</v>
      </c>
      <c r="B33" s="180" t="s">
        <v>860</v>
      </c>
      <c r="C33" s="230">
        <f>C34+C35</f>
        <v>433417.9</v>
      </c>
      <c r="D33" s="230">
        <f>D34+D35</f>
        <v>1426.1</v>
      </c>
      <c r="E33" s="230">
        <f>E34+E35</f>
        <v>1426.1</v>
      </c>
    </row>
    <row r="34" spans="1:5" s="3" customFormat="1" ht="64.5" customHeight="1">
      <c r="A34" s="299" t="s">
        <v>886</v>
      </c>
      <c r="B34" s="180" t="s">
        <v>887</v>
      </c>
      <c r="C34" s="230">
        <v>432000</v>
      </c>
      <c r="D34" s="230">
        <v>0</v>
      </c>
      <c r="E34" s="230">
        <v>0</v>
      </c>
    </row>
    <row r="35" spans="1:5" s="3" customFormat="1" ht="47.25">
      <c r="A35" s="178" t="s">
        <v>809</v>
      </c>
      <c r="B35" s="179" t="s">
        <v>1113</v>
      </c>
      <c r="C35" s="230">
        <v>1417.9</v>
      </c>
      <c r="D35" s="231">
        <v>1426.1</v>
      </c>
      <c r="E35" s="231">
        <v>1426.1</v>
      </c>
    </row>
    <row r="36" spans="1:5" s="3" customFormat="1" ht="31.5">
      <c r="A36" s="311" t="s">
        <v>761</v>
      </c>
      <c r="B36" s="179" t="s">
        <v>861</v>
      </c>
      <c r="C36" s="230">
        <v>0</v>
      </c>
      <c r="D36" s="230">
        <v>0</v>
      </c>
      <c r="E36" s="230">
        <v>0</v>
      </c>
    </row>
    <row r="37" spans="1:5" s="3" customFormat="1" ht="47.25">
      <c r="A37" s="311" t="s">
        <v>763</v>
      </c>
      <c r="B37" s="179" t="s">
        <v>764</v>
      </c>
      <c r="C37" s="230">
        <v>542.20000000000005</v>
      </c>
      <c r="D37" s="230">
        <v>0</v>
      </c>
      <c r="E37" s="230">
        <v>0</v>
      </c>
    </row>
    <row r="38" spans="1:5" s="3" customFormat="1" ht="15.75" customHeight="1">
      <c r="A38" s="330" t="s">
        <v>862</v>
      </c>
      <c r="B38" s="330"/>
      <c r="C38" s="181">
        <f>C16+C28</f>
        <v>4263121.5</v>
      </c>
      <c r="D38" s="181">
        <f>D16+D28</f>
        <v>4016750.6</v>
      </c>
      <c r="E38" s="181">
        <f>E16+E28</f>
        <v>4078208.5999999996</v>
      </c>
    </row>
    <row r="39" spans="1:5" s="3" customFormat="1" ht="15.75" customHeight="1">
      <c r="A39" s="239"/>
      <c r="B39" s="239"/>
      <c r="C39" s="282"/>
      <c r="D39" s="282"/>
      <c r="E39" s="282"/>
    </row>
    <row r="40" spans="1:5" s="3" customFormat="1" ht="20.45" customHeight="1">
      <c r="A40" s="233"/>
      <c r="B40" s="129"/>
      <c r="C40" s="234"/>
    </row>
    <row r="41" spans="1:5" s="211" customFormat="1" ht="15.75">
      <c r="A41" s="316" t="s">
        <v>1138</v>
      </c>
      <c r="B41" s="289"/>
      <c r="C41" s="289"/>
    </row>
    <row r="42" spans="1:5" s="211" customFormat="1" ht="15.75">
      <c r="A42" s="317" t="s">
        <v>1139</v>
      </c>
      <c r="B42" s="237"/>
      <c r="C42" s="2" t="s">
        <v>371</v>
      </c>
    </row>
    <row r="43" spans="1:5" s="211" customFormat="1" ht="15.75">
      <c r="A43" s="327" t="s">
        <v>1143</v>
      </c>
      <c r="B43" s="327"/>
      <c r="C43" s="327"/>
      <c r="D43" s="327"/>
      <c r="E43" s="327"/>
    </row>
    <row r="44" spans="1:5" s="129" customFormat="1" ht="15.75">
      <c r="B44" s="63"/>
      <c r="C44" s="63"/>
      <c r="D44" s="63"/>
      <c r="E44" s="63"/>
    </row>
    <row r="45" spans="1:5" s="3" customFormat="1" ht="15.75"/>
  </sheetData>
  <mergeCells count="7">
    <mergeCell ref="A43:E43"/>
    <mergeCell ref="A13:B13"/>
    <mergeCell ref="D13:E13"/>
    <mergeCell ref="A38:B38"/>
    <mergeCell ref="A9:E9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L391"/>
  <sheetViews>
    <sheetView zoomScale="80" zoomScaleNormal="80" workbookViewId="0">
      <selection activeCell="O23" sqref="O23"/>
    </sheetView>
  </sheetViews>
  <sheetFormatPr defaultRowHeight="12.75"/>
  <cols>
    <col min="1" max="1" width="47.7109375" style="9" customWidth="1"/>
    <col min="2" max="2" width="14.5703125" style="13" customWidth="1"/>
    <col min="3" max="3" width="7.42578125" style="13" customWidth="1"/>
    <col min="4" max="4" width="8.28515625" style="13" customWidth="1"/>
    <col min="5" max="5" width="14.28515625" style="13" customWidth="1"/>
    <col min="6" max="6" width="6.42578125" style="13" customWidth="1"/>
    <col min="7" max="7" width="14.140625" style="13" customWidth="1"/>
    <col min="8" max="9" width="14.140625" style="169" customWidth="1"/>
    <col min="10" max="10" width="9.140625" style="9"/>
    <col min="11" max="11" width="21.85546875" style="9" customWidth="1"/>
    <col min="12" max="16384" width="9.140625" style="9"/>
  </cols>
  <sheetData>
    <row r="1" spans="1:9">
      <c r="I1" s="171" t="s">
        <v>408</v>
      </c>
    </row>
    <row r="2" spans="1:9">
      <c r="I2" s="168" t="s">
        <v>433</v>
      </c>
    </row>
    <row r="3" spans="1:9">
      <c r="I3" s="15" t="s">
        <v>1119</v>
      </c>
    </row>
    <row r="4" spans="1:9">
      <c r="I4" s="15" t="s">
        <v>1120</v>
      </c>
    </row>
    <row r="5" spans="1:9">
      <c r="I5" s="15" t="s">
        <v>1121</v>
      </c>
    </row>
    <row r="6" spans="1:9">
      <c r="H6" s="9"/>
      <c r="I6" s="169" t="s">
        <v>1122</v>
      </c>
    </row>
    <row r="7" spans="1:9">
      <c r="I7" s="321" t="s">
        <v>1156</v>
      </c>
    </row>
    <row r="8" spans="1:9">
      <c r="A8" s="238"/>
    </row>
    <row r="9" spans="1:9" s="182" customFormat="1" ht="15.75">
      <c r="A9" s="331" t="s">
        <v>496</v>
      </c>
      <c r="B9" s="331"/>
      <c r="C9" s="331"/>
      <c r="D9" s="331"/>
      <c r="E9" s="331"/>
      <c r="F9" s="331"/>
      <c r="G9" s="331"/>
      <c r="H9" s="331"/>
      <c r="I9" s="331"/>
    </row>
    <row r="10" spans="1:9" s="182" customFormat="1" ht="15.75">
      <c r="A10" s="331" t="s">
        <v>1126</v>
      </c>
      <c r="B10" s="331"/>
      <c r="C10" s="331"/>
      <c r="D10" s="331"/>
      <c r="E10" s="331"/>
      <c r="F10" s="331"/>
      <c r="G10" s="331"/>
      <c r="H10" s="331"/>
      <c r="I10" s="331"/>
    </row>
    <row r="11" spans="1:9" s="182" customFormat="1" ht="15.75">
      <c r="A11" s="239"/>
      <c r="B11" s="239"/>
      <c r="C11" s="239"/>
      <c r="D11" s="239"/>
      <c r="E11" s="239"/>
      <c r="F11" s="239"/>
      <c r="G11" s="239"/>
      <c r="H11" s="239"/>
      <c r="I11" s="239"/>
    </row>
    <row r="12" spans="1:9" s="182" customFormat="1" ht="15.75">
      <c r="A12" s="239"/>
      <c r="B12" s="239"/>
      <c r="C12" s="239"/>
      <c r="D12" s="239"/>
      <c r="E12" s="239"/>
      <c r="F12" s="239"/>
      <c r="G12" s="239"/>
      <c r="H12" s="240"/>
      <c r="I12" s="188" t="s">
        <v>0</v>
      </c>
    </row>
    <row r="13" spans="1:9" s="182" customFormat="1" ht="15.75">
      <c r="A13" s="332" t="s">
        <v>2</v>
      </c>
      <c r="B13" s="335" t="s">
        <v>666</v>
      </c>
      <c r="C13" s="335"/>
      <c r="D13" s="335"/>
      <c r="E13" s="335"/>
      <c r="F13" s="335"/>
      <c r="G13" s="334" t="s">
        <v>1040</v>
      </c>
      <c r="H13" s="334" t="s">
        <v>622</v>
      </c>
      <c r="I13" s="334" t="s">
        <v>665</v>
      </c>
    </row>
    <row r="14" spans="1:9" s="182" customFormat="1" ht="60">
      <c r="A14" s="333"/>
      <c r="B14" s="313" t="s">
        <v>670</v>
      </c>
      <c r="C14" s="241" t="s">
        <v>5</v>
      </c>
      <c r="D14" s="314" t="s">
        <v>6</v>
      </c>
      <c r="E14" s="314" t="s">
        <v>107</v>
      </c>
      <c r="F14" s="314" t="s">
        <v>621</v>
      </c>
      <c r="G14" s="334"/>
      <c r="H14" s="334"/>
      <c r="I14" s="334"/>
    </row>
    <row r="15" spans="1:9" s="182" customFormat="1" ht="15.75">
      <c r="A15" s="314">
        <v>1</v>
      </c>
      <c r="B15" s="314">
        <v>2</v>
      </c>
      <c r="C15" s="241">
        <v>3</v>
      </c>
      <c r="D15" s="241">
        <v>4</v>
      </c>
      <c r="E15" s="241">
        <v>5</v>
      </c>
      <c r="F15" s="241">
        <v>6</v>
      </c>
      <c r="G15" s="241">
        <v>7</v>
      </c>
      <c r="H15" s="242">
        <v>8</v>
      </c>
      <c r="I15" s="242">
        <v>9</v>
      </c>
    </row>
    <row r="16" spans="1:9" s="182" customFormat="1" ht="19.5" customHeight="1">
      <c r="A16" s="179" t="s">
        <v>608</v>
      </c>
      <c r="B16" s="243" t="s">
        <v>610</v>
      </c>
      <c r="C16" s="178"/>
      <c r="D16" s="178"/>
      <c r="E16" s="178"/>
      <c r="F16" s="178"/>
      <c r="G16" s="230">
        <f t="shared" ref="G16:I19" si="0">G17</f>
        <v>0</v>
      </c>
      <c r="H16" s="230">
        <f t="shared" si="0"/>
        <v>42750</v>
      </c>
      <c r="I16" s="230">
        <f t="shared" si="0"/>
        <v>78720</v>
      </c>
    </row>
    <row r="17" spans="1:9" s="182" customFormat="1" ht="23.25" customHeight="1">
      <c r="A17" s="179" t="s">
        <v>609</v>
      </c>
      <c r="B17" s="311"/>
      <c r="C17" s="178">
        <v>99</v>
      </c>
      <c r="D17" s="178"/>
      <c r="E17" s="178"/>
      <c r="F17" s="178"/>
      <c r="G17" s="230">
        <f t="shared" si="0"/>
        <v>0</v>
      </c>
      <c r="H17" s="230">
        <f t="shared" si="0"/>
        <v>42750</v>
      </c>
      <c r="I17" s="230">
        <f t="shared" si="0"/>
        <v>78720</v>
      </c>
    </row>
    <row r="18" spans="1:9" s="182" customFormat="1" ht="23.25" customHeight="1">
      <c r="A18" s="179" t="s">
        <v>609</v>
      </c>
      <c r="B18" s="311"/>
      <c r="C18" s="178">
        <v>99</v>
      </c>
      <c r="D18" s="178">
        <v>99</v>
      </c>
      <c r="E18" s="178"/>
      <c r="F18" s="178"/>
      <c r="G18" s="230">
        <f t="shared" si="0"/>
        <v>0</v>
      </c>
      <c r="H18" s="230">
        <f t="shared" si="0"/>
        <v>42750</v>
      </c>
      <c r="I18" s="230">
        <f t="shared" si="0"/>
        <v>78720</v>
      </c>
    </row>
    <row r="19" spans="1:9" s="182" customFormat="1" ht="20.25" customHeight="1">
      <c r="A19" s="179" t="s">
        <v>609</v>
      </c>
      <c r="B19" s="311"/>
      <c r="C19" s="178">
        <v>99</v>
      </c>
      <c r="D19" s="178">
        <v>99</v>
      </c>
      <c r="E19" s="245" t="s">
        <v>612</v>
      </c>
      <c r="F19" s="178"/>
      <c r="G19" s="230">
        <f t="shared" si="0"/>
        <v>0</v>
      </c>
      <c r="H19" s="230">
        <f t="shared" si="0"/>
        <v>42750</v>
      </c>
      <c r="I19" s="230">
        <f t="shared" si="0"/>
        <v>78720</v>
      </c>
    </row>
    <row r="20" spans="1:9" s="129" customFormat="1" ht="26.25" customHeight="1">
      <c r="A20" s="180" t="s">
        <v>470</v>
      </c>
      <c r="B20" s="311"/>
      <c r="C20" s="243" t="s">
        <v>611</v>
      </c>
      <c r="D20" s="245" t="s">
        <v>611</v>
      </c>
      <c r="E20" s="245" t="s">
        <v>612</v>
      </c>
      <c r="F20" s="178">
        <v>800</v>
      </c>
      <c r="G20" s="230">
        <v>0</v>
      </c>
      <c r="H20" s="230">
        <v>42750</v>
      </c>
      <c r="I20" s="230">
        <f>46532+32188</f>
        <v>78720</v>
      </c>
    </row>
    <row r="21" spans="1:9" s="182" customFormat="1" ht="39.75" customHeight="1">
      <c r="A21" s="246" t="s">
        <v>108</v>
      </c>
      <c r="B21" s="312">
        <v>803</v>
      </c>
      <c r="C21" s="247"/>
      <c r="D21" s="247"/>
      <c r="E21" s="247"/>
      <c r="F21" s="247"/>
      <c r="G21" s="181">
        <f>G22+G53+G66+G74+G86+G94+G114</f>
        <v>363841.80000000005</v>
      </c>
      <c r="H21" s="181">
        <f>H22+H53+H66+H74+H86+H94+H114</f>
        <v>319521.3</v>
      </c>
      <c r="I21" s="181">
        <f>I22+I53+I66+I74+I86+I94+I114</f>
        <v>271794.59999999998</v>
      </c>
    </row>
    <row r="22" spans="1:9" s="182" customFormat="1" ht="26.25" customHeight="1">
      <c r="A22" s="246" t="s">
        <v>9</v>
      </c>
      <c r="B22" s="312"/>
      <c r="C22" s="248" t="s">
        <v>10</v>
      </c>
      <c r="D22" s="248" t="s">
        <v>469</v>
      </c>
      <c r="E22" s="247"/>
      <c r="F22" s="247"/>
      <c r="G22" s="181">
        <f>G23+G30</f>
        <v>140429.5</v>
      </c>
      <c r="H22" s="181">
        <f>H23+H30</f>
        <v>147065.19999999998</v>
      </c>
      <c r="I22" s="181">
        <f>I23+I30</f>
        <v>146932.1</v>
      </c>
    </row>
    <row r="23" spans="1:9" s="129" customFormat="1" ht="87" customHeight="1">
      <c r="A23" s="249" t="s">
        <v>18</v>
      </c>
      <c r="B23" s="312"/>
      <c r="C23" s="248" t="s">
        <v>10</v>
      </c>
      <c r="D23" s="248" t="s">
        <v>19</v>
      </c>
      <c r="E23" s="248"/>
      <c r="F23" s="248"/>
      <c r="G23" s="181">
        <f>G24+G26</f>
        <v>137384.9</v>
      </c>
      <c r="H23" s="181">
        <f>H24+H26</f>
        <v>145171.4</v>
      </c>
      <c r="I23" s="181">
        <f>I24+I26</f>
        <v>145171.4</v>
      </c>
    </row>
    <row r="24" spans="1:9" s="129" customFormat="1" ht="120.75" customHeight="1">
      <c r="A24" s="180" t="s">
        <v>491</v>
      </c>
      <c r="B24" s="311"/>
      <c r="C24" s="245" t="s">
        <v>10</v>
      </c>
      <c r="D24" s="245" t="s">
        <v>19</v>
      </c>
      <c r="E24" s="245" t="s">
        <v>500</v>
      </c>
      <c r="F24" s="245"/>
      <c r="G24" s="230">
        <f>G25</f>
        <v>7826.6</v>
      </c>
      <c r="H24" s="230">
        <f>H25</f>
        <v>7925.9</v>
      </c>
      <c r="I24" s="230">
        <f>I25</f>
        <v>7925.9</v>
      </c>
    </row>
    <row r="25" spans="1:9" s="63" customFormat="1" ht="100.5" customHeight="1">
      <c r="A25" s="180" t="s">
        <v>482</v>
      </c>
      <c r="B25" s="311"/>
      <c r="C25" s="245" t="s">
        <v>10</v>
      </c>
      <c r="D25" s="245" t="s">
        <v>19</v>
      </c>
      <c r="E25" s="245" t="s">
        <v>500</v>
      </c>
      <c r="F25" s="245" t="s">
        <v>483</v>
      </c>
      <c r="G25" s="230">
        <v>7826.6</v>
      </c>
      <c r="H25" s="230">
        <v>7925.9</v>
      </c>
      <c r="I25" s="230">
        <f>H25</f>
        <v>7925.9</v>
      </c>
    </row>
    <row r="26" spans="1:9" s="129" customFormat="1" ht="135.75" customHeight="1">
      <c r="A26" s="180" t="s">
        <v>492</v>
      </c>
      <c r="B26" s="311"/>
      <c r="C26" s="245" t="s">
        <v>10</v>
      </c>
      <c r="D26" s="245" t="s">
        <v>19</v>
      </c>
      <c r="E26" s="245" t="s">
        <v>501</v>
      </c>
      <c r="F26" s="245"/>
      <c r="G26" s="230">
        <f>SUM(G27:G29)</f>
        <v>129558.3</v>
      </c>
      <c r="H26" s="230">
        <f>SUM(H27:H29)</f>
        <v>137245.5</v>
      </c>
      <c r="I26" s="230">
        <f>SUM(I27:I29)</f>
        <v>137245.5</v>
      </c>
    </row>
    <row r="27" spans="1:9" s="129" customFormat="1" ht="106.5" customHeight="1">
      <c r="A27" s="180" t="s">
        <v>482</v>
      </c>
      <c r="B27" s="311"/>
      <c r="C27" s="245" t="s">
        <v>10</v>
      </c>
      <c r="D27" s="245" t="s">
        <v>19</v>
      </c>
      <c r="E27" s="245" t="s">
        <v>501</v>
      </c>
      <c r="F27" s="245" t="s">
        <v>483</v>
      </c>
      <c r="G27" s="230">
        <v>103803.4</v>
      </c>
      <c r="H27" s="230">
        <v>110555.3</v>
      </c>
      <c r="I27" s="230">
        <f>H27</f>
        <v>110555.3</v>
      </c>
    </row>
    <row r="28" spans="1:9" s="129" customFormat="1" ht="39" customHeight="1">
      <c r="A28" s="180" t="s">
        <v>630</v>
      </c>
      <c r="B28" s="311"/>
      <c r="C28" s="245" t="s">
        <v>10</v>
      </c>
      <c r="D28" s="245" t="s">
        <v>19</v>
      </c>
      <c r="E28" s="245" t="s">
        <v>501</v>
      </c>
      <c r="F28" s="245" t="s">
        <v>477</v>
      </c>
      <c r="G28" s="230">
        <v>23207.8</v>
      </c>
      <c r="H28" s="230">
        <v>25090.2</v>
      </c>
      <c r="I28" s="230">
        <f>H28</f>
        <v>25090.2</v>
      </c>
    </row>
    <row r="29" spans="1:9" s="129" customFormat="1" ht="24" customHeight="1">
      <c r="A29" s="180" t="s">
        <v>470</v>
      </c>
      <c r="B29" s="311"/>
      <c r="C29" s="245" t="s">
        <v>10</v>
      </c>
      <c r="D29" s="245" t="s">
        <v>19</v>
      </c>
      <c r="E29" s="245" t="s">
        <v>501</v>
      </c>
      <c r="F29" s="245" t="s">
        <v>471</v>
      </c>
      <c r="G29" s="230">
        <v>2547.1</v>
      </c>
      <c r="H29" s="230">
        <v>1600</v>
      </c>
      <c r="I29" s="230">
        <f>H29</f>
        <v>1600</v>
      </c>
    </row>
    <row r="30" spans="1:9" s="129" customFormat="1" ht="26.25" customHeight="1">
      <c r="A30" s="249" t="s">
        <v>28</v>
      </c>
      <c r="B30" s="312"/>
      <c r="C30" s="250" t="s">
        <v>10</v>
      </c>
      <c r="D30" s="248" t="s">
        <v>154</v>
      </c>
      <c r="E30" s="248"/>
      <c r="F30" s="248"/>
      <c r="G30" s="181">
        <f>G43+G45+G40+G37+G34+G49+G47+G31+G51</f>
        <v>3044.6</v>
      </c>
      <c r="H30" s="181">
        <f>H43+H45+H40+H37+H34+H49+H47+H31+H51</f>
        <v>1893.8</v>
      </c>
      <c r="I30" s="181">
        <f>I43+I45+I40+I37+I34+I49+I47+I31+I51</f>
        <v>1760.7</v>
      </c>
    </row>
    <row r="31" spans="1:9" s="129" customFormat="1" ht="55.5" customHeight="1">
      <c r="A31" s="180" t="s">
        <v>895</v>
      </c>
      <c r="B31" s="312"/>
      <c r="C31" s="245" t="s">
        <v>10</v>
      </c>
      <c r="D31" s="245" t="s">
        <v>154</v>
      </c>
      <c r="E31" s="245" t="s">
        <v>517</v>
      </c>
      <c r="F31" s="248"/>
      <c r="G31" s="230">
        <f t="shared" ref="G31:I32" si="1">G32</f>
        <v>0</v>
      </c>
      <c r="H31" s="230">
        <f t="shared" si="1"/>
        <v>150</v>
      </c>
      <c r="I31" s="230">
        <f t="shared" si="1"/>
        <v>150</v>
      </c>
    </row>
    <row r="32" spans="1:9" s="129" customFormat="1" ht="69" customHeight="1">
      <c r="A32" s="180" t="s">
        <v>605</v>
      </c>
      <c r="B32" s="312"/>
      <c r="C32" s="245" t="s">
        <v>10</v>
      </c>
      <c r="D32" s="245" t="s">
        <v>154</v>
      </c>
      <c r="E32" s="245" t="s">
        <v>517</v>
      </c>
      <c r="F32" s="245"/>
      <c r="G32" s="230">
        <f t="shared" si="1"/>
        <v>0</v>
      </c>
      <c r="H32" s="230">
        <f t="shared" si="1"/>
        <v>150</v>
      </c>
      <c r="I32" s="230">
        <f t="shared" si="1"/>
        <v>150</v>
      </c>
    </row>
    <row r="33" spans="1:9" s="129" customFormat="1" ht="31.5">
      <c r="A33" s="180" t="s">
        <v>630</v>
      </c>
      <c r="B33" s="312"/>
      <c r="C33" s="245" t="s">
        <v>10</v>
      </c>
      <c r="D33" s="245" t="s">
        <v>154</v>
      </c>
      <c r="E33" s="245" t="s">
        <v>517</v>
      </c>
      <c r="F33" s="245" t="s">
        <v>477</v>
      </c>
      <c r="G33" s="230">
        <v>0</v>
      </c>
      <c r="H33" s="230">
        <v>150</v>
      </c>
      <c r="I33" s="230">
        <v>150</v>
      </c>
    </row>
    <row r="34" spans="1:9" s="129" customFormat="1" ht="54.75" customHeight="1">
      <c r="A34" s="180" t="s">
        <v>623</v>
      </c>
      <c r="B34" s="312"/>
      <c r="C34" s="245" t="s">
        <v>10</v>
      </c>
      <c r="D34" s="245" t="s">
        <v>154</v>
      </c>
      <c r="E34" s="245" t="s">
        <v>624</v>
      </c>
      <c r="F34" s="248"/>
      <c r="G34" s="230">
        <f t="shared" ref="G34:I35" si="2">G35</f>
        <v>10</v>
      </c>
      <c r="H34" s="230">
        <f t="shared" si="2"/>
        <v>10</v>
      </c>
      <c r="I34" s="230">
        <f t="shared" si="2"/>
        <v>10</v>
      </c>
    </row>
    <row r="35" spans="1:9" s="129" customFormat="1" ht="70.5" customHeight="1">
      <c r="A35" s="180" t="s">
        <v>601</v>
      </c>
      <c r="B35" s="312"/>
      <c r="C35" s="245" t="s">
        <v>10</v>
      </c>
      <c r="D35" s="245" t="s">
        <v>154</v>
      </c>
      <c r="E35" s="245" t="s">
        <v>518</v>
      </c>
      <c r="F35" s="245"/>
      <c r="G35" s="230">
        <f t="shared" si="2"/>
        <v>10</v>
      </c>
      <c r="H35" s="230">
        <f t="shared" si="2"/>
        <v>10</v>
      </c>
      <c r="I35" s="230">
        <f t="shared" si="2"/>
        <v>10</v>
      </c>
    </row>
    <row r="36" spans="1:9" s="129" customFormat="1" ht="39.75" customHeight="1">
      <c r="A36" s="180" t="s">
        <v>630</v>
      </c>
      <c r="B36" s="312"/>
      <c r="C36" s="245" t="s">
        <v>10</v>
      </c>
      <c r="D36" s="245" t="s">
        <v>154</v>
      </c>
      <c r="E36" s="245" t="s">
        <v>518</v>
      </c>
      <c r="F36" s="245" t="s">
        <v>477</v>
      </c>
      <c r="G36" s="230">
        <v>10</v>
      </c>
      <c r="H36" s="230">
        <v>10</v>
      </c>
      <c r="I36" s="230">
        <f>H36</f>
        <v>10</v>
      </c>
    </row>
    <row r="37" spans="1:9" s="129" customFormat="1" ht="66" customHeight="1">
      <c r="A37" s="180" t="s">
        <v>607</v>
      </c>
      <c r="B37" s="312"/>
      <c r="C37" s="245" t="s">
        <v>10</v>
      </c>
      <c r="D37" s="245" t="s">
        <v>154</v>
      </c>
      <c r="E37" s="243" t="s">
        <v>557</v>
      </c>
      <c r="F37" s="245"/>
      <c r="G37" s="230">
        <f>G38</f>
        <v>277.10000000000002</v>
      </c>
      <c r="H37" s="230">
        <f>H38</f>
        <v>134.1</v>
      </c>
      <c r="I37" s="230">
        <f t="shared" ref="G37:I38" si="3">I38</f>
        <v>0</v>
      </c>
    </row>
    <row r="38" spans="1:9" s="129" customFormat="1" ht="71.25" customHeight="1">
      <c r="A38" s="180" t="s">
        <v>664</v>
      </c>
      <c r="B38" s="312"/>
      <c r="C38" s="245" t="s">
        <v>10</v>
      </c>
      <c r="D38" s="245" t="s">
        <v>154</v>
      </c>
      <c r="E38" s="243" t="s">
        <v>645</v>
      </c>
      <c r="F38" s="245"/>
      <c r="G38" s="230">
        <f t="shared" si="3"/>
        <v>277.10000000000002</v>
      </c>
      <c r="H38" s="230">
        <f t="shared" si="3"/>
        <v>134.1</v>
      </c>
      <c r="I38" s="230">
        <f t="shared" si="3"/>
        <v>0</v>
      </c>
    </row>
    <row r="39" spans="1:9" s="129" customFormat="1" ht="41.25" customHeight="1">
      <c r="A39" s="180" t="s">
        <v>630</v>
      </c>
      <c r="B39" s="312"/>
      <c r="C39" s="245" t="s">
        <v>10</v>
      </c>
      <c r="D39" s="245" t="s">
        <v>154</v>
      </c>
      <c r="E39" s="243" t="s">
        <v>645</v>
      </c>
      <c r="F39" s="245" t="s">
        <v>477</v>
      </c>
      <c r="G39" s="230">
        <v>277.10000000000002</v>
      </c>
      <c r="H39" s="230">
        <v>134.1</v>
      </c>
      <c r="I39" s="230">
        <v>0</v>
      </c>
    </row>
    <row r="40" spans="1:9" s="129" customFormat="1" ht="52.5" customHeight="1">
      <c r="A40" s="177" t="s">
        <v>905</v>
      </c>
      <c r="B40" s="312"/>
      <c r="C40" s="245" t="s">
        <v>10</v>
      </c>
      <c r="D40" s="245" t="s">
        <v>154</v>
      </c>
      <c r="E40" s="251" t="s">
        <v>572</v>
      </c>
      <c r="F40" s="245"/>
      <c r="G40" s="230">
        <f t="shared" ref="G40:I41" si="4">G41</f>
        <v>100</v>
      </c>
      <c r="H40" s="230">
        <f t="shared" si="4"/>
        <v>100</v>
      </c>
      <c r="I40" s="230">
        <f t="shared" si="4"/>
        <v>100</v>
      </c>
    </row>
    <row r="41" spans="1:9" s="129" customFormat="1" ht="24" customHeight="1">
      <c r="A41" s="177" t="s">
        <v>592</v>
      </c>
      <c r="B41" s="311"/>
      <c r="C41" s="245" t="s">
        <v>10</v>
      </c>
      <c r="D41" s="245" t="s">
        <v>154</v>
      </c>
      <c r="E41" s="251" t="s">
        <v>593</v>
      </c>
      <c r="F41" s="245"/>
      <c r="G41" s="230">
        <f t="shared" si="4"/>
        <v>100</v>
      </c>
      <c r="H41" s="230">
        <f t="shared" si="4"/>
        <v>100</v>
      </c>
      <c r="I41" s="230">
        <f t="shared" si="4"/>
        <v>100</v>
      </c>
    </row>
    <row r="42" spans="1:9" s="129" customFormat="1" ht="42" customHeight="1">
      <c r="A42" s="180" t="s">
        <v>630</v>
      </c>
      <c r="B42" s="311"/>
      <c r="C42" s="245" t="s">
        <v>10</v>
      </c>
      <c r="D42" s="245" t="s">
        <v>154</v>
      </c>
      <c r="E42" s="251" t="s">
        <v>597</v>
      </c>
      <c r="F42" s="245" t="s">
        <v>477</v>
      </c>
      <c r="G42" s="230">
        <v>100</v>
      </c>
      <c r="H42" s="230">
        <v>100</v>
      </c>
      <c r="I42" s="230">
        <f>H42</f>
        <v>100</v>
      </c>
    </row>
    <row r="43" spans="1:9" s="129" customFormat="1" ht="73.5" customHeight="1">
      <c r="A43" s="180" t="s">
        <v>488</v>
      </c>
      <c r="B43" s="311"/>
      <c r="C43" s="243" t="s">
        <v>10</v>
      </c>
      <c r="D43" s="245" t="s">
        <v>154</v>
      </c>
      <c r="E43" s="245" t="s">
        <v>504</v>
      </c>
      <c r="F43" s="245"/>
      <c r="G43" s="230">
        <f>G44</f>
        <v>192</v>
      </c>
      <c r="H43" s="230">
        <f>H44</f>
        <v>192</v>
      </c>
      <c r="I43" s="230">
        <f>I44</f>
        <v>192</v>
      </c>
    </row>
    <row r="44" spans="1:9" s="129" customFormat="1" ht="31.5">
      <c r="A44" s="180" t="s">
        <v>479</v>
      </c>
      <c r="B44" s="311"/>
      <c r="C44" s="243" t="s">
        <v>10</v>
      </c>
      <c r="D44" s="245" t="s">
        <v>154</v>
      </c>
      <c r="E44" s="245" t="s">
        <v>504</v>
      </c>
      <c r="F44" s="178">
        <v>300</v>
      </c>
      <c r="G44" s="230">
        <v>192</v>
      </c>
      <c r="H44" s="230">
        <v>192</v>
      </c>
      <c r="I44" s="230">
        <f>H44</f>
        <v>192</v>
      </c>
    </row>
    <row r="45" spans="1:9" s="129" customFormat="1" ht="45.75" customHeight="1">
      <c r="A45" s="180" t="s">
        <v>526</v>
      </c>
      <c r="B45" s="311"/>
      <c r="C45" s="243" t="s">
        <v>10</v>
      </c>
      <c r="D45" s="245" t="s">
        <v>154</v>
      </c>
      <c r="E45" s="245" t="s">
        <v>525</v>
      </c>
      <c r="F45" s="178"/>
      <c r="G45" s="230">
        <f>G46</f>
        <v>1525.9</v>
      </c>
      <c r="H45" s="230">
        <f>H46</f>
        <v>1275.9000000000001</v>
      </c>
      <c r="I45" s="230">
        <f>I46</f>
        <v>1275.9000000000001</v>
      </c>
    </row>
    <row r="46" spans="1:9" s="129" customFormat="1" ht="21.75" customHeight="1">
      <c r="A46" s="180" t="s">
        <v>470</v>
      </c>
      <c r="B46" s="311"/>
      <c r="C46" s="243" t="s">
        <v>10</v>
      </c>
      <c r="D46" s="245" t="s">
        <v>154</v>
      </c>
      <c r="E46" s="245" t="s">
        <v>525</v>
      </c>
      <c r="F46" s="178">
        <v>800</v>
      </c>
      <c r="G46" s="230">
        <v>1525.9</v>
      </c>
      <c r="H46" s="230">
        <v>1275.9000000000001</v>
      </c>
      <c r="I46" s="230">
        <f>H46</f>
        <v>1275.9000000000001</v>
      </c>
    </row>
    <row r="47" spans="1:9" s="129" customFormat="1" ht="59.25" customHeight="1">
      <c r="A47" s="177" t="s">
        <v>863</v>
      </c>
      <c r="B47" s="311"/>
      <c r="C47" s="243" t="s">
        <v>10</v>
      </c>
      <c r="D47" s="245" t="s">
        <v>154</v>
      </c>
      <c r="E47" s="245" t="s">
        <v>501</v>
      </c>
      <c r="F47" s="178"/>
      <c r="G47" s="230">
        <f>G48</f>
        <v>936.6</v>
      </c>
      <c r="H47" s="230">
        <f>H48</f>
        <v>0</v>
      </c>
      <c r="I47" s="230">
        <f>I48</f>
        <v>0</v>
      </c>
    </row>
    <row r="48" spans="1:9" s="129" customFormat="1" ht="22.5" customHeight="1">
      <c r="A48" s="180" t="s">
        <v>470</v>
      </c>
      <c r="B48" s="311"/>
      <c r="C48" s="243" t="s">
        <v>10</v>
      </c>
      <c r="D48" s="245" t="s">
        <v>154</v>
      </c>
      <c r="E48" s="245" t="s">
        <v>501</v>
      </c>
      <c r="F48" s="178">
        <v>800</v>
      </c>
      <c r="G48" s="230">
        <v>936.6</v>
      </c>
      <c r="H48" s="230">
        <v>0</v>
      </c>
      <c r="I48" s="230">
        <v>0</v>
      </c>
    </row>
    <row r="49" spans="1:9" s="129" customFormat="1" ht="270.75" customHeight="1">
      <c r="A49" s="180" t="s">
        <v>629</v>
      </c>
      <c r="B49" s="311"/>
      <c r="C49" s="243" t="s">
        <v>10</v>
      </c>
      <c r="D49" s="245" t="s">
        <v>154</v>
      </c>
      <c r="E49" s="243" t="s">
        <v>628</v>
      </c>
      <c r="F49" s="178"/>
      <c r="G49" s="230">
        <f>G50</f>
        <v>3</v>
      </c>
      <c r="H49" s="230">
        <f>H50</f>
        <v>3</v>
      </c>
      <c r="I49" s="230">
        <f>I50</f>
        <v>3</v>
      </c>
    </row>
    <row r="50" spans="1:9" s="129" customFormat="1" ht="31.5">
      <c r="A50" s="180" t="s">
        <v>630</v>
      </c>
      <c r="B50" s="311"/>
      <c r="C50" s="243" t="s">
        <v>10</v>
      </c>
      <c r="D50" s="245" t="s">
        <v>154</v>
      </c>
      <c r="E50" s="243" t="s">
        <v>628</v>
      </c>
      <c r="F50" s="245" t="s">
        <v>477</v>
      </c>
      <c r="G50" s="230">
        <v>3</v>
      </c>
      <c r="H50" s="230">
        <v>3</v>
      </c>
      <c r="I50" s="230">
        <f>H50</f>
        <v>3</v>
      </c>
    </row>
    <row r="51" spans="1:9" s="129" customFormat="1" ht="106.5" customHeight="1">
      <c r="A51" s="180" t="s">
        <v>901</v>
      </c>
      <c r="B51" s="311"/>
      <c r="C51" s="243" t="s">
        <v>10</v>
      </c>
      <c r="D51" s="245" t="s">
        <v>154</v>
      </c>
      <c r="E51" s="243" t="s">
        <v>900</v>
      </c>
      <c r="F51" s="245"/>
      <c r="G51" s="230">
        <f>G52</f>
        <v>0</v>
      </c>
      <c r="H51" s="230">
        <f>H52</f>
        <v>28.8</v>
      </c>
      <c r="I51" s="230">
        <f>I52</f>
        <v>29.8</v>
      </c>
    </row>
    <row r="52" spans="1:9" s="129" customFormat="1" ht="39.75" customHeight="1">
      <c r="A52" s="180" t="s">
        <v>630</v>
      </c>
      <c r="B52" s="311"/>
      <c r="C52" s="243" t="s">
        <v>10</v>
      </c>
      <c r="D52" s="245" t="s">
        <v>154</v>
      </c>
      <c r="E52" s="243" t="s">
        <v>900</v>
      </c>
      <c r="F52" s="245" t="s">
        <v>477</v>
      </c>
      <c r="G52" s="230">
        <v>0</v>
      </c>
      <c r="H52" s="230">
        <v>28.8</v>
      </c>
      <c r="I52" s="230">
        <v>29.8</v>
      </c>
    </row>
    <row r="53" spans="1:9" s="129" customFormat="1" ht="57" customHeight="1">
      <c r="A53" s="249" t="s">
        <v>32</v>
      </c>
      <c r="B53" s="312"/>
      <c r="C53" s="248" t="s">
        <v>12</v>
      </c>
      <c r="D53" s="245"/>
      <c r="E53" s="248"/>
      <c r="F53" s="248"/>
      <c r="G53" s="181">
        <f>G54+G62</f>
        <v>19028.600000000002</v>
      </c>
      <c r="H53" s="181">
        <f>H54+H62</f>
        <v>21494.9</v>
      </c>
      <c r="I53" s="181">
        <f>I54+I62</f>
        <v>21494.9</v>
      </c>
    </row>
    <row r="54" spans="1:9" s="129" customFormat="1" ht="64.5" customHeight="1">
      <c r="A54" s="249" t="s">
        <v>472</v>
      </c>
      <c r="B54" s="312"/>
      <c r="C54" s="248" t="s">
        <v>12</v>
      </c>
      <c r="D54" s="248" t="s">
        <v>33</v>
      </c>
      <c r="E54" s="248"/>
      <c r="F54" s="248"/>
      <c r="G54" s="181">
        <f>G55+G60</f>
        <v>18928.600000000002</v>
      </c>
      <c r="H54" s="181">
        <f>H55+H60</f>
        <v>21394.9</v>
      </c>
      <c r="I54" s="181">
        <f>I55+I60</f>
        <v>21394.9</v>
      </c>
    </row>
    <row r="55" spans="1:9" s="129" customFormat="1" ht="153" customHeight="1">
      <c r="A55" s="180" t="s">
        <v>917</v>
      </c>
      <c r="B55" s="311"/>
      <c r="C55" s="245" t="s">
        <v>12</v>
      </c>
      <c r="D55" s="245" t="s">
        <v>33</v>
      </c>
      <c r="E55" s="245" t="s">
        <v>563</v>
      </c>
      <c r="F55" s="245"/>
      <c r="G55" s="230">
        <f>G56</f>
        <v>17848.7</v>
      </c>
      <c r="H55" s="230">
        <f>H56</f>
        <v>19520</v>
      </c>
      <c r="I55" s="230">
        <f>I56</f>
        <v>19520</v>
      </c>
    </row>
    <row r="56" spans="1:9" s="129" customFormat="1" ht="203.25" customHeight="1">
      <c r="A56" s="180" t="s">
        <v>918</v>
      </c>
      <c r="B56" s="311"/>
      <c r="C56" s="245" t="s">
        <v>12</v>
      </c>
      <c r="D56" s="245" t="s">
        <v>33</v>
      </c>
      <c r="E56" s="245" t="s">
        <v>505</v>
      </c>
      <c r="F56" s="245"/>
      <c r="G56" s="230">
        <f>SUM(G57:G59)</f>
        <v>17848.7</v>
      </c>
      <c r="H56" s="230">
        <f>SUM(H57:H59)</f>
        <v>19520</v>
      </c>
      <c r="I56" s="230">
        <f>SUM(I57:I59)</f>
        <v>19520</v>
      </c>
    </row>
    <row r="57" spans="1:9" s="129" customFormat="1" ht="109.5" customHeight="1">
      <c r="A57" s="180" t="s">
        <v>482</v>
      </c>
      <c r="B57" s="311"/>
      <c r="C57" s="245" t="s">
        <v>12</v>
      </c>
      <c r="D57" s="245" t="s">
        <v>33</v>
      </c>
      <c r="E57" s="245" t="s">
        <v>505</v>
      </c>
      <c r="F57" s="245" t="s">
        <v>483</v>
      </c>
      <c r="G57" s="230">
        <v>16117.1</v>
      </c>
      <c r="H57" s="230">
        <v>16852.2</v>
      </c>
      <c r="I57" s="230">
        <f>H57</f>
        <v>16852.2</v>
      </c>
    </row>
    <row r="58" spans="1:9" s="129" customFormat="1" ht="45.75" customHeight="1">
      <c r="A58" s="180" t="s">
        <v>630</v>
      </c>
      <c r="B58" s="311"/>
      <c r="C58" s="245" t="s">
        <v>12</v>
      </c>
      <c r="D58" s="245" t="s">
        <v>33</v>
      </c>
      <c r="E58" s="245" t="s">
        <v>505</v>
      </c>
      <c r="F58" s="245" t="s">
        <v>477</v>
      </c>
      <c r="G58" s="230">
        <v>1679.3</v>
      </c>
      <c r="H58" s="230">
        <v>2635.3</v>
      </c>
      <c r="I58" s="230">
        <f>H58</f>
        <v>2635.3</v>
      </c>
    </row>
    <row r="59" spans="1:9" s="129" customFormat="1" ht="23.25" customHeight="1">
      <c r="A59" s="180" t="s">
        <v>470</v>
      </c>
      <c r="B59" s="311"/>
      <c r="C59" s="245" t="s">
        <v>12</v>
      </c>
      <c r="D59" s="245" t="s">
        <v>33</v>
      </c>
      <c r="E59" s="245" t="s">
        <v>505</v>
      </c>
      <c r="F59" s="245" t="s">
        <v>471</v>
      </c>
      <c r="G59" s="230">
        <v>52.3</v>
      </c>
      <c r="H59" s="230">
        <v>32.5</v>
      </c>
      <c r="I59" s="230">
        <f>H59</f>
        <v>32.5</v>
      </c>
    </row>
    <row r="60" spans="1:9" s="129" customFormat="1" ht="77.25" customHeight="1">
      <c r="A60" s="180" t="s">
        <v>671</v>
      </c>
      <c r="B60" s="311"/>
      <c r="C60" s="245" t="s">
        <v>12</v>
      </c>
      <c r="D60" s="245" t="s">
        <v>33</v>
      </c>
      <c r="E60" s="183" t="s">
        <v>654</v>
      </c>
      <c r="F60" s="245"/>
      <c r="G60" s="230">
        <f>G61</f>
        <v>1079.9000000000001</v>
      </c>
      <c r="H60" s="230">
        <f>H61</f>
        <v>1874.9</v>
      </c>
      <c r="I60" s="230">
        <f>I61</f>
        <v>1874.9</v>
      </c>
    </row>
    <row r="61" spans="1:9" s="129" customFormat="1" ht="42" customHeight="1">
      <c r="A61" s="180" t="s">
        <v>630</v>
      </c>
      <c r="B61" s="311"/>
      <c r="C61" s="245" t="s">
        <v>12</v>
      </c>
      <c r="D61" s="245" t="s">
        <v>33</v>
      </c>
      <c r="E61" s="183" t="s">
        <v>654</v>
      </c>
      <c r="F61" s="245" t="s">
        <v>477</v>
      </c>
      <c r="G61" s="230">
        <v>1079.9000000000001</v>
      </c>
      <c r="H61" s="230">
        <v>1874.9</v>
      </c>
      <c r="I61" s="230">
        <f>H61</f>
        <v>1874.9</v>
      </c>
    </row>
    <row r="62" spans="1:9" s="163" customFormat="1" ht="26.25" customHeight="1">
      <c r="A62" s="249" t="s">
        <v>625</v>
      </c>
      <c r="B62" s="312"/>
      <c r="C62" s="248" t="s">
        <v>12</v>
      </c>
      <c r="D62" s="248" t="s">
        <v>94</v>
      </c>
      <c r="E62" s="248"/>
      <c r="F62" s="248"/>
      <c r="G62" s="181">
        <f t="shared" ref="G62:I64" si="5">G63</f>
        <v>100</v>
      </c>
      <c r="H62" s="181">
        <f t="shared" si="5"/>
        <v>100</v>
      </c>
      <c r="I62" s="181">
        <f t="shared" si="5"/>
        <v>100</v>
      </c>
    </row>
    <row r="63" spans="1:9" s="129" customFormat="1" ht="94.5">
      <c r="A63" s="180" t="s">
        <v>919</v>
      </c>
      <c r="B63" s="311"/>
      <c r="C63" s="245" t="s">
        <v>12</v>
      </c>
      <c r="D63" s="245" t="s">
        <v>94</v>
      </c>
      <c r="E63" s="245" t="s">
        <v>564</v>
      </c>
      <c r="F63" s="245"/>
      <c r="G63" s="230">
        <f t="shared" si="5"/>
        <v>100</v>
      </c>
      <c r="H63" s="230">
        <f t="shared" si="5"/>
        <v>100</v>
      </c>
      <c r="I63" s="230">
        <f t="shared" si="5"/>
        <v>100</v>
      </c>
    </row>
    <row r="64" spans="1:9" s="129" customFormat="1" ht="110.25">
      <c r="A64" s="180" t="s">
        <v>920</v>
      </c>
      <c r="B64" s="311"/>
      <c r="C64" s="245" t="s">
        <v>12</v>
      </c>
      <c r="D64" s="245" t="s">
        <v>94</v>
      </c>
      <c r="E64" s="245" t="s">
        <v>506</v>
      </c>
      <c r="F64" s="245"/>
      <c r="G64" s="230">
        <f t="shared" si="5"/>
        <v>100</v>
      </c>
      <c r="H64" s="230">
        <f t="shared" si="5"/>
        <v>100</v>
      </c>
      <c r="I64" s="230">
        <f t="shared" si="5"/>
        <v>100</v>
      </c>
    </row>
    <row r="65" spans="1:9" s="129" customFormat="1" ht="43.5" customHeight="1">
      <c r="A65" s="180" t="s">
        <v>630</v>
      </c>
      <c r="B65" s="311"/>
      <c r="C65" s="245" t="s">
        <v>12</v>
      </c>
      <c r="D65" s="245" t="s">
        <v>94</v>
      </c>
      <c r="E65" s="245" t="s">
        <v>506</v>
      </c>
      <c r="F65" s="245" t="s">
        <v>477</v>
      </c>
      <c r="G65" s="230">
        <v>100</v>
      </c>
      <c r="H65" s="230">
        <v>100</v>
      </c>
      <c r="I65" s="230">
        <v>100</v>
      </c>
    </row>
    <row r="66" spans="1:9" s="129" customFormat="1" ht="24" customHeight="1">
      <c r="A66" s="249" t="s">
        <v>39</v>
      </c>
      <c r="B66" s="312"/>
      <c r="C66" s="248" t="s">
        <v>19</v>
      </c>
      <c r="D66" s="248" t="s">
        <v>469</v>
      </c>
      <c r="E66" s="248"/>
      <c r="F66" s="248"/>
      <c r="G66" s="181">
        <f>G67+G70</f>
        <v>118742.70000000001</v>
      </c>
      <c r="H66" s="181">
        <f>H67+H70</f>
        <v>71083.100000000006</v>
      </c>
      <c r="I66" s="181">
        <f>I67+I70</f>
        <v>20000</v>
      </c>
    </row>
    <row r="67" spans="1:9" s="129" customFormat="1" ht="22.5" customHeight="1">
      <c r="A67" s="246" t="s">
        <v>141</v>
      </c>
      <c r="B67" s="312"/>
      <c r="C67" s="248" t="s">
        <v>19</v>
      </c>
      <c r="D67" s="248" t="s">
        <v>81</v>
      </c>
      <c r="E67" s="245"/>
      <c r="F67" s="248"/>
      <c r="G67" s="181">
        <f t="shared" ref="G67:I68" si="6">G68</f>
        <v>28000</v>
      </c>
      <c r="H67" s="181">
        <f t="shared" si="6"/>
        <v>20000</v>
      </c>
      <c r="I67" s="181">
        <f t="shared" si="6"/>
        <v>20000</v>
      </c>
    </row>
    <row r="68" spans="1:9" s="129" customFormat="1" ht="120" customHeight="1">
      <c r="A68" s="180" t="s">
        <v>906</v>
      </c>
      <c r="B68" s="311"/>
      <c r="C68" s="245" t="s">
        <v>19</v>
      </c>
      <c r="D68" s="245" t="s">
        <v>81</v>
      </c>
      <c r="E68" s="245" t="s">
        <v>507</v>
      </c>
      <c r="F68" s="245"/>
      <c r="G68" s="230">
        <f t="shared" si="6"/>
        <v>28000</v>
      </c>
      <c r="H68" s="230">
        <f t="shared" si="6"/>
        <v>20000</v>
      </c>
      <c r="I68" s="230">
        <f t="shared" si="6"/>
        <v>20000</v>
      </c>
    </row>
    <row r="69" spans="1:9" s="129" customFormat="1" ht="20.25" customHeight="1">
      <c r="A69" s="180" t="s">
        <v>470</v>
      </c>
      <c r="B69" s="311"/>
      <c r="C69" s="245" t="s">
        <v>19</v>
      </c>
      <c r="D69" s="245" t="s">
        <v>81</v>
      </c>
      <c r="E69" s="245" t="s">
        <v>507</v>
      </c>
      <c r="F69" s="245" t="s">
        <v>471</v>
      </c>
      <c r="G69" s="230">
        <v>28000</v>
      </c>
      <c r="H69" s="230">
        <v>20000</v>
      </c>
      <c r="I69" s="230">
        <v>20000</v>
      </c>
    </row>
    <row r="70" spans="1:9" s="163" customFormat="1" ht="39.75" customHeight="1">
      <c r="A70" s="249" t="s">
        <v>40</v>
      </c>
      <c r="B70" s="312"/>
      <c r="C70" s="248" t="s">
        <v>19</v>
      </c>
      <c r="D70" s="248" t="s">
        <v>24</v>
      </c>
      <c r="E70" s="248"/>
      <c r="F70" s="248"/>
      <c r="G70" s="181">
        <f t="shared" ref="G70:I72" si="7">G71</f>
        <v>90742.700000000012</v>
      </c>
      <c r="H70" s="181">
        <f t="shared" si="7"/>
        <v>51083.1</v>
      </c>
      <c r="I70" s="181">
        <f t="shared" si="7"/>
        <v>0</v>
      </c>
    </row>
    <row r="71" spans="1:9" s="129" customFormat="1" ht="62.25" customHeight="1">
      <c r="A71" s="180" t="s">
        <v>921</v>
      </c>
      <c r="B71" s="312"/>
      <c r="C71" s="245" t="s">
        <v>19</v>
      </c>
      <c r="D71" s="245" t="s">
        <v>24</v>
      </c>
      <c r="E71" s="245" t="s">
        <v>587</v>
      </c>
      <c r="F71" s="248"/>
      <c r="G71" s="230">
        <f t="shared" si="7"/>
        <v>90742.700000000012</v>
      </c>
      <c r="H71" s="230">
        <f t="shared" si="7"/>
        <v>51083.1</v>
      </c>
      <c r="I71" s="230">
        <f t="shared" si="7"/>
        <v>0</v>
      </c>
    </row>
    <row r="72" spans="1:9" s="129" customFormat="1" ht="117.75" customHeight="1">
      <c r="A72" s="180" t="s">
        <v>922</v>
      </c>
      <c r="B72" s="312"/>
      <c r="C72" s="245" t="s">
        <v>19</v>
      </c>
      <c r="D72" s="245" t="s">
        <v>24</v>
      </c>
      <c r="E72" s="245" t="s">
        <v>509</v>
      </c>
      <c r="F72" s="248"/>
      <c r="G72" s="230">
        <f t="shared" si="7"/>
        <v>90742.700000000012</v>
      </c>
      <c r="H72" s="230">
        <f t="shared" si="7"/>
        <v>51083.1</v>
      </c>
      <c r="I72" s="230">
        <f t="shared" si="7"/>
        <v>0</v>
      </c>
    </row>
    <row r="73" spans="1:9" s="129" customFormat="1" ht="31.5">
      <c r="A73" s="180" t="s">
        <v>630</v>
      </c>
      <c r="B73" s="311"/>
      <c r="C73" s="245" t="s">
        <v>19</v>
      </c>
      <c r="D73" s="245" t="s">
        <v>24</v>
      </c>
      <c r="E73" s="245" t="s">
        <v>509</v>
      </c>
      <c r="F73" s="245" t="s">
        <v>477</v>
      </c>
      <c r="G73" s="230">
        <f>96656.6-5913.9</f>
        <v>90742.700000000012</v>
      </c>
      <c r="H73" s="230">
        <f>73177.7-22094.6</f>
        <v>51083.1</v>
      </c>
      <c r="I73" s="230">
        <v>0</v>
      </c>
    </row>
    <row r="74" spans="1:9" s="129" customFormat="1" ht="20.25" customHeight="1">
      <c r="A74" s="180" t="s">
        <v>43</v>
      </c>
      <c r="B74" s="311"/>
      <c r="C74" s="248" t="s">
        <v>44</v>
      </c>
      <c r="D74" s="248"/>
      <c r="E74" s="245"/>
      <c r="F74" s="245"/>
      <c r="G74" s="308">
        <f>G75+G83+G80</f>
        <v>24862.799999999996</v>
      </c>
      <c r="H74" s="308">
        <f>H75+H83</f>
        <v>1204.3</v>
      </c>
      <c r="I74" s="308">
        <f>I75+I83</f>
        <v>336</v>
      </c>
    </row>
    <row r="75" spans="1:9" s="129" customFormat="1" ht="15.75">
      <c r="A75" s="249" t="s">
        <v>45</v>
      </c>
      <c r="B75" s="312"/>
      <c r="C75" s="248" t="s">
        <v>44</v>
      </c>
      <c r="D75" s="248" t="s">
        <v>10</v>
      </c>
      <c r="E75" s="248"/>
      <c r="F75" s="248"/>
      <c r="G75" s="181">
        <f>G76+G78</f>
        <v>18691.099999999999</v>
      </c>
      <c r="H75" s="181">
        <f>H78+H76</f>
        <v>904.3</v>
      </c>
      <c r="I75" s="181">
        <f>I78+I76</f>
        <v>36</v>
      </c>
    </row>
    <row r="76" spans="1:9" s="129" customFormat="1" ht="105" customHeight="1">
      <c r="A76" s="180" t="s">
        <v>904</v>
      </c>
      <c r="B76" s="312"/>
      <c r="C76" s="245" t="s">
        <v>44</v>
      </c>
      <c r="D76" s="245" t="s">
        <v>10</v>
      </c>
      <c r="E76" s="245" t="s">
        <v>899</v>
      </c>
      <c r="F76" s="245"/>
      <c r="G76" s="230">
        <f>G77</f>
        <v>0</v>
      </c>
      <c r="H76" s="230">
        <f>H77</f>
        <v>270.8</v>
      </c>
      <c r="I76" s="230">
        <f>I77</f>
        <v>36</v>
      </c>
    </row>
    <row r="77" spans="1:9" s="129" customFormat="1" ht="57.75" customHeight="1">
      <c r="A77" s="180" t="s">
        <v>1043</v>
      </c>
      <c r="B77" s="312"/>
      <c r="C77" s="245" t="s">
        <v>44</v>
      </c>
      <c r="D77" s="245" t="s">
        <v>10</v>
      </c>
      <c r="E77" s="245" t="s">
        <v>899</v>
      </c>
      <c r="F77" s="245" t="s">
        <v>481</v>
      </c>
      <c r="G77" s="230">
        <v>0</v>
      </c>
      <c r="H77" s="230">
        <v>270.8</v>
      </c>
      <c r="I77" s="230">
        <v>36</v>
      </c>
    </row>
    <row r="78" spans="1:9" s="129" customFormat="1" ht="53.25" customHeight="1">
      <c r="A78" s="180" t="s">
        <v>898</v>
      </c>
      <c r="B78" s="311"/>
      <c r="C78" s="245" t="s">
        <v>44</v>
      </c>
      <c r="D78" s="245" t="s">
        <v>10</v>
      </c>
      <c r="E78" s="245" t="s">
        <v>637</v>
      </c>
      <c r="F78" s="245"/>
      <c r="G78" s="230">
        <f>G79</f>
        <v>18691.099999999999</v>
      </c>
      <c r="H78" s="230">
        <f>H79</f>
        <v>633.5</v>
      </c>
      <c r="I78" s="230">
        <f>I79</f>
        <v>0</v>
      </c>
    </row>
    <row r="79" spans="1:9" s="129" customFormat="1" ht="60.75" customHeight="1">
      <c r="A79" s="180" t="s">
        <v>1043</v>
      </c>
      <c r="B79" s="311"/>
      <c r="C79" s="245" t="s">
        <v>44</v>
      </c>
      <c r="D79" s="245" t="s">
        <v>10</v>
      </c>
      <c r="E79" s="245" t="s">
        <v>637</v>
      </c>
      <c r="F79" s="245" t="s">
        <v>481</v>
      </c>
      <c r="G79" s="230">
        <v>18691.099999999999</v>
      </c>
      <c r="H79" s="230">
        <f>1463.3-1150+475-150-4.8</f>
        <v>633.5</v>
      </c>
      <c r="I79" s="230">
        <v>0</v>
      </c>
    </row>
    <row r="80" spans="1:9" s="129" customFormat="1" ht="24" customHeight="1">
      <c r="A80" s="246" t="s">
        <v>293</v>
      </c>
      <c r="B80" s="312"/>
      <c r="C80" s="248" t="s">
        <v>44</v>
      </c>
      <c r="D80" s="248" t="s">
        <v>50</v>
      </c>
      <c r="E80" s="248"/>
      <c r="F80" s="248"/>
      <c r="G80" s="181">
        <f>G81</f>
        <v>5913.9</v>
      </c>
      <c r="H80" s="181">
        <f>H81</f>
        <v>24982.799999999999</v>
      </c>
      <c r="I80" s="181">
        <f>I81</f>
        <v>24982.799999999999</v>
      </c>
    </row>
    <row r="81" spans="1:9" s="129" customFormat="1" ht="102" customHeight="1">
      <c r="A81" s="180" t="s">
        <v>652</v>
      </c>
      <c r="B81" s="311"/>
      <c r="C81" s="245" t="s">
        <v>44</v>
      </c>
      <c r="D81" s="245" t="s">
        <v>50</v>
      </c>
      <c r="E81" s="245" t="s">
        <v>512</v>
      </c>
      <c r="F81" s="245"/>
      <c r="G81" s="230">
        <f>G82</f>
        <v>5913.9</v>
      </c>
      <c r="H81" s="230">
        <f>H82+H83+H85+H86</f>
        <v>24982.799999999999</v>
      </c>
      <c r="I81" s="230">
        <f>I82+I83+I85+I86</f>
        <v>24982.799999999999</v>
      </c>
    </row>
    <row r="82" spans="1:9" s="129" customFormat="1" ht="47.25">
      <c r="A82" s="180" t="s">
        <v>1043</v>
      </c>
      <c r="B82" s="311"/>
      <c r="C82" s="245" t="s">
        <v>44</v>
      </c>
      <c r="D82" s="245" t="s">
        <v>50</v>
      </c>
      <c r="E82" s="245" t="s">
        <v>512</v>
      </c>
      <c r="F82" s="245" t="s">
        <v>481</v>
      </c>
      <c r="G82" s="230">
        <v>5913.9</v>
      </c>
      <c r="H82" s="230">
        <v>0</v>
      </c>
      <c r="I82" s="230">
        <v>0</v>
      </c>
    </row>
    <row r="83" spans="1:9" s="129" customFormat="1" ht="15.75">
      <c r="A83" s="249" t="s">
        <v>51</v>
      </c>
      <c r="B83" s="312"/>
      <c r="C83" s="248" t="s">
        <v>44</v>
      </c>
      <c r="D83" s="248" t="s">
        <v>12</v>
      </c>
      <c r="E83" s="248"/>
      <c r="F83" s="248"/>
      <c r="G83" s="181">
        <f>G84</f>
        <v>257.8</v>
      </c>
      <c r="H83" s="181">
        <f>H84</f>
        <v>300</v>
      </c>
      <c r="I83" s="181">
        <f>I84</f>
        <v>300</v>
      </c>
    </row>
    <row r="84" spans="1:9" s="129" customFormat="1" ht="123.75" customHeight="1">
      <c r="A84" s="180" t="s">
        <v>923</v>
      </c>
      <c r="B84" s="311"/>
      <c r="C84" s="245" t="s">
        <v>44</v>
      </c>
      <c r="D84" s="245" t="s">
        <v>12</v>
      </c>
      <c r="E84" s="245" t="s">
        <v>513</v>
      </c>
      <c r="F84" s="245"/>
      <c r="G84" s="230">
        <f>G85</f>
        <v>257.8</v>
      </c>
      <c r="H84" s="230">
        <f>H85</f>
        <v>300</v>
      </c>
      <c r="I84" s="230">
        <f>SUM(I85:I85)</f>
        <v>300</v>
      </c>
    </row>
    <row r="85" spans="1:9" s="129" customFormat="1" ht="41.25" customHeight="1">
      <c r="A85" s="180" t="s">
        <v>630</v>
      </c>
      <c r="B85" s="311"/>
      <c r="C85" s="245" t="s">
        <v>44</v>
      </c>
      <c r="D85" s="245" t="s">
        <v>12</v>
      </c>
      <c r="E85" s="245" t="s">
        <v>513</v>
      </c>
      <c r="F85" s="245" t="s">
        <v>477</v>
      </c>
      <c r="G85" s="230">
        <v>257.8</v>
      </c>
      <c r="H85" s="230">
        <v>300</v>
      </c>
      <c r="I85" s="230">
        <f>H85</f>
        <v>300</v>
      </c>
    </row>
    <row r="86" spans="1:9" s="129" customFormat="1" ht="25.5" customHeight="1">
      <c r="A86" s="249" t="s">
        <v>143</v>
      </c>
      <c r="B86" s="312"/>
      <c r="C86" s="248" t="s">
        <v>81</v>
      </c>
      <c r="D86" s="248" t="s">
        <v>469</v>
      </c>
      <c r="E86" s="248"/>
      <c r="F86" s="248"/>
      <c r="G86" s="181">
        <f>G87</f>
        <v>10497.4</v>
      </c>
      <c r="H86" s="181">
        <f>H87</f>
        <v>24382.799999999999</v>
      </c>
      <c r="I86" s="181">
        <f>I87</f>
        <v>24382.799999999999</v>
      </c>
    </row>
    <row r="87" spans="1:9" s="129" customFormat="1" ht="24" customHeight="1">
      <c r="A87" s="249" t="s">
        <v>82</v>
      </c>
      <c r="B87" s="312"/>
      <c r="C87" s="248" t="s">
        <v>81</v>
      </c>
      <c r="D87" s="248" t="s">
        <v>10</v>
      </c>
      <c r="E87" s="248"/>
      <c r="F87" s="248"/>
      <c r="G87" s="181">
        <f>G91+G88</f>
        <v>10497.4</v>
      </c>
      <c r="H87" s="181">
        <f>H91+H88</f>
        <v>24382.799999999999</v>
      </c>
      <c r="I87" s="181">
        <f>I91+I88</f>
        <v>24382.799999999999</v>
      </c>
    </row>
    <row r="88" spans="1:9" s="129" customFormat="1" ht="108.75" customHeight="1">
      <c r="A88" s="180" t="s">
        <v>913</v>
      </c>
      <c r="B88" s="311"/>
      <c r="C88" s="245" t="s">
        <v>81</v>
      </c>
      <c r="D88" s="245" t="s">
        <v>10</v>
      </c>
      <c r="E88" s="245" t="s">
        <v>532</v>
      </c>
      <c r="F88" s="245"/>
      <c r="G88" s="230">
        <f>G89+G90</f>
        <v>3654.3999999999996</v>
      </c>
      <c r="H88" s="230">
        <f>H89+H90</f>
        <v>7367.2999999999993</v>
      </c>
      <c r="I88" s="230">
        <f>I89+I90</f>
        <v>7367.2999999999993</v>
      </c>
    </row>
    <row r="89" spans="1:9" s="129" customFormat="1" ht="104.25" customHeight="1">
      <c r="A89" s="180" t="s">
        <v>482</v>
      </c>
      <c r="B89" s="311"/>
      <c r="C89" s="245" t="s">
        <v>81</v>
      </c>
      <c r="D89" s="245" t="s">
        <v>10</v>
      </c>
      <c r="E89" s="245" t="s">
        <v>532</v>
      </c>
      <c r="F89" s="245" t="s">
        <v>483</v>
      </c>
      <c r="G89" s="230">
        <v>2469.6</v>
      </c>
      <c r="H89" s="230">
        <v>6197.7</v>
      </c>
      <c r="I89" s="230">
        <f>H89</f>
        <v>6197.7</v>
      </c>
    </row>
    <row r="90" spans="1:9" s="129" customFormat="1" ht="49.5" customHeight="1">
      <c r="A90" s="180" t="s">
        <v>630</v>
      </c>
      <c r="B90" s="311"/>
      <c r="C90" s="245" t="s">
        <v>81</v>
      </c>
      <c r="D90" s="245" t="s">
        <v>10</v>
      </c>
      <c r="E90" s="245" t="s">
        <v>532</v>
      </c>
      <c r="F90" s="245" t="s">
        <v>477</v>
      </c>
      <c r="G90" s="230">
        <v>1184.8</v>
      </c>
      <c r="H90" s="230">
        <v>1169.5999999999999</v>
      </c>
      <c r="I90" s="230">
        <f>H90</f>
        <v>1169.5999999999999</v>
      </c>
    </row>
    <row r="91" spans="1:9" s="129" customFormat="1" ht="99" customHeight="1">
      <c r="A91" s="180" t="s">
        <v>914</v>
      </c>
      <c r="B91" s="311"/>
      <c r="C91" s="245" t="s">
        <v>81</v>
      </c>
      <c r="D91" s="245" t="s">
        <v>10</v>
      </c>
      <c r="E91" s="245" t="s">
        <v>520</v>
      </c>
      <c r="F91" s="245"/>
      <c r="G91" s="230">
        <f>G92+G93</f>
        <v>6843</v>
      </c>
      <c r="H91" s="230">
        <f>H92+H93</f>
        <v>17015.5</v>
      </c>
      <c r="I91" s="230">
        <f>I92+I93</f>
        <v>17015.5</v>
      </c>
    </row>
    <row r="92" spans="1:9" s="129" customFormat="1" ht="31.5">
      <c r="A92" s="180" t="s">
        <v>630</v>
      </c>
      <c r="B92" s="311"/>
      <c r="C92" s="245" t="s">
        <v>81</v>
      </c>
      <c r="D92" s="245" t="s">
        <v>10</v>
      </c>
      <c r="E92" s="245" t="s">
        <v>520</v>
      </c>
      <c r="F92" s="245" t="s">
        <v>477</v>
      </c>
      <c r="G92" s="230">
        <v>4527.5</v>
      </c>
      <c r="H92" s="230">
        <v>16265.5</v>
      </c>
      <c r="I92" s="230">
        <f>H92</f>
        <v>16265.5</v>
      </c>
    </row>
    <row r="93" spans="1:9" s="129" customFormat="1" ht="47.25">
      <c r="A93" s="180" t="s">
        <v>485</v>
      </c>
      <c r="B93" s="311"/>
      <c r="C93" s="245" t="s">
        <v>81</v>
      </c>
      <c r="D93" s="245" t="s">
        <v>10</v>
      </c>
      <c r="E93" s="245" t="s">
        <v>520</v>
      </c>
      <c r="F93" s="245" t="s">
        <v>484</v>
      </c>
      <c r="G93" s="230">
        <v>2315.5</v>
      </c>
      <c r="H93" s="230">
        <v>750</v>
      </c>
      <c r="I93" s="230">
        <f>H93</f>
        <v>750</v>
      </c>
    </row>
    <row r="94" spans="1:9" s="129" customFormat="1" ht="15.75">
      <c r="A94" s="249" t="s">
        <v>97</v>
      </c>
      <c r="B94" s="312"/>
      <c r="C94" s="248">
        <v>10</v>
      </c>
      <c r="D94" s="248" t="s">
        <v>469</v>
      </c>
      <c r="E94" s="248"/>
      <c r="F94" s="248"/>
      <c r="G94" s="181">
        <f>G95+G98+G108+G101</f>
        <v>48822.5</v>
      </c>
      <c r="H94" s="181">
        <f>H95+H98+H108+H101</f>
        <v>45541</v>
      </c>
      <c r="I94" s="181">
        <f>I95+I98+I108+I101</f>
        <v>49898.8</v>
      </c>
    </row>
    <row r="95" spans="1:9" s="129" customFormat="1" ht="15.75">
      <c r="A95" s="249" t="s">
        <v>98</v>
      </c>
      <c r="B95" s="312"/>
      <c r="C95" s="248">
        <v>10</v>
      </c>
      <c r="D95" s="248" t="s">
        <v>10</v>
      </c>
      <c r="E95" s="248"/>
      <c r="F95" s="248"/>
      <c r="G95" s="181">
        <f>G96</f>
        <v>8822.6</v>
      </c>
      <c r="H95" s="181">
        <f t="shared" ref="G95:I96" si="8">H96</f>
        <v>9000</v>
      </c>
      <c r="I95" s="181">
        <f t="shared" si="8"/>
        <v>9000</v>
      </c>
    </row>
    <row r="96" spans="1:9" s="129" customFormat="1" ht="86.25" customHeight="1">
      <c r="A96" s="180" t="s">
        <v>490</v>
      </c>
      <c r="B96" s="311"/>
      <c r="C96" s="245">
        <v>10</v>
      </c>
      <c r="D96" s="245" t="s">
        <v>10</v>
      </c>
      <c r="E96" s="245" t="s">
        <v>521</v>
      </c>
      <c r="F96" s="245"/>
      <c r="G96" s="230">
        <f t="shared" si="8"/>
        <v>8822.6</v>
      </c>
      <c r="H96" s="230">
        <f t="shared" si="8"/>
        <v>9000</v>
      </c>
      <c r="I96" s="230">
        <f t="shared" si="8"/>
        <v>9000</v>
      </c>
    </row>
    <row r="97" spans="1:9" s="129" customFormat="1" ht="31.5">
      <c r="A97" s="180" t="s">
        <v>479</v>
      </c>
      <c r="B97" s="311"/>
      <c r="C97" s="245">
        <v>10</v>
      </c>
      <c r="D97" s="245" t="s">
        <v>10</v>
      </c>
      <c r="E97" s="245" t="s">
        <v>521</v>
      </c>
      <c r="F97" s="245" t="s">
        <v>480</v>
      </c>
      <c r="G97" s="230">
        <v>8822.6</v>
      </c>
      <c r="H97" s="230">
        <v>9000</v>
      </c>
      <c r="I97" s="230">
        <f>H97</f>
        <v>9000</v>
      </c>
    </row>
    <row r="98" spans="1:9" s="129" customFormat="1" ht="20.25" customHeight="1">
      <c r="A98" s="249" t="s">
        <v>103</v>
      </c>
      <c r="B98" s="312"/>
      <c r="C98" s="248" t="s">
        <v>94</v>
      </c>
      <c r="D98" s="248" t="s">
        <v>12</v>
      </c>
      <c r="E98" s="248"/>
      <c r="F98" s="248"/>
      <c r="G98" s="181">
        <f t="shared" ref="G98:I99" si="9">G99</f>
        <v>15734.4</v>
      </c>
      <c r="H98" s="181">
        <f t="shared" si="9"/>
        <v>5500</v>
      </c>
      <c r="I98" s="181">
        <f t="shared" si="9"/>
        <v>5500</v>
      </c>
    </row>
    <row r="99" spans="1:9" s="129" customFormat="1" ht="164.25" customHeight="1">
      <c r="A99" s="180" t="s">
        <v>924</v>
      </c>
      <c r="B99" s="311"/>
      <c r="C99" s="245" t="s">
        <v>94</v>
      </c>
      <c r="D99" s="245" t="s">
        <v>12</v>
      </c>
      <c r="E99" s="245" t="s">
        <v>864</v>
      </c>
      <c r="F99" s="178"/>
      <c r="G99" s="230">
        <f t="shared" si="9"/>
        <v>15734.4</v>
      </c>
      <c r="H99" s="230">
        <f t="shared" si="9"/>
        <v>5500</v>
      </c>
      <c r="I99" s="230">
        <f t="shared" si="9"/>
        <v>5500</v>
      </c>
    </row>
    <row r="100" spans="1:9" s="129" customFormat="1" ht="37.5" customHeight="1">
      <c r="A100" s="180" t="s">
        <v>479</v>
      </c>
      <c r="B100" s="311"/>
      <c r="C100" s="245" t="s">
        <v>94</v>
      </c>
      <c r="D100" s="245" t="s">
        <v>12</v>
      </c>
      <c r="E100" s="245" t="s">
        <v>864</v>
      </c>
      <c r="F100" s="178">
        <v>300</v>
      </c>
      <c r="G100" s="230">
        <v>15734.4</v>
      </c>
      <c r="H100" s="230">
        <v>5500</v>
      </c>
      <c r="I100" s="230">
        <v>5500</v>
      </c>
    </row>
    <row r="101" spans="1:9" s="129" customFormat="1" ht="24" customHeight="1">
      <c r="A101" s="249" t="s">
        <v>233</v>
      </c>
      <c r="B101" s="312"/>
      <c r="C101" s="248" t="s">
        <v>94</v>
      </c>
      <c r="D101" s="248" t="s">
        <v>19</v>
      </c>
      <c r="E101" s="248"/>
      <c r="F101" s="248"/>
      <c r="G101" s="181">
        <f>G102+G106+G104</f>
        <v>16865</v>
      </c>
      <c r="H101" s="181">
        <f>H102+H106+H104</f>
        <v>23610.2</v>
      </c>
      <c r="I101" s="181">
        <f>I102+I106+I104</f>
        <v>27235</v>
      </c>
    </row>
    <row r="102" spans="1:9" s="129" customFormat="1" ht="180" customHeight="1">
      <c r="A102" s="180" t="s">
        <v>467</v>
      </c>
      <c r="B102" s="311"/>
      <c r="C102" s="245" t="s">
        <v>94</v>
      </c>
      <c r="D102" s="245" t="s">
        <v>19</v>
      </c>
      <c r="E102" s="245" t="s">
        <v>544</v>
      </c>
      <c r="F102" s="245"/>
      <c r="G102" s="230">
        <f>G103</f>
        <v>14612</v>
      </c>
      <c r="H102" s="230">
        <f>H103</f>
        <v>20848</v>
      </c>
      <c r="I102" s="230">
        <f>I103</f>
        <v>24055.9</v>
      </c>
    </row>
    <row r="103" spans="1:9" s="129" customFormat="1" ht="38.25" customHeight="1">
      <c r="A103" s="180" t="s">
        <v>479</v>
      </c>
      <c r="B103" s="311"/>
      <c r="C103" s="245" t="s">
        <v>94</v>
      </c>
      <c r="D103" s="245" t="s">
        <v>19</v>
      </c>
      <c r="E103" s="245" t="s">
        <v>544</v>
      </c>
      <c r="F103" s="245" t="s">
        <v>480</v>
      </c>
      <c r="G103" s="230">
        <v>14612</v>
      </c>
      <c r="H103" s="230">
        <f>20848</f>
        <v>20848</v>
      </c>
      <c r="I103" s="230">
        <f>24055.9</f>
        <v>24055.9</v>
      </c>
    </row>
    <row r="104" spans="1:9" s="129" customFormat="1" ht="55.5" customHeight="1">
      <c r="A104" s="180" t="s">
        <v>644</v>
      </c>
      <c r="B104" s="311"/>
      <c r="C104" s="245" t="s">
        <v>94</v>
      </c>
      <c r="D104" s="245" t="s">
        <v>19</v>
      </c>
      <c r="E104" s="245" t="s">
        <v>643</v>
      </c>
      <c r="F104" s="245"/>
      <c r="G104" s="230">
        <f>G105</f>
        <v>2193</v>
      </c>
      <c r="H104" s="230">
        <f>H105</f>
        <v>2710.2</v>
      </c>
      <c r="I104" s="230">
        <f>I105</f>
        <v>3127.1</v>
      </c>
    </row>
    <row r="105" spans="1:9" s="129" customFormat="1" ht="31.5">
      <c r="A105" s="180" t="s">
        <v>479</v>
      </c>
      <c r="B105" s="311"/>
      <c r="C105" s="245" t="s">
        <v>94</v>
      </c>
      <c r="D105" s="245" t="s">
        <v>19</v>
      </c>
      <c r="E105" s="245" t="s">
        <v>643</v>
      </c>
      <c r="F105" s="245" t="s">
        <v>480</v>
      </c>
      <c r="G105" s="230">
        <v>2193</v>
      </c>
      <c r="H105" s="230">
        <v>2710.2</v>
      </c>
      <c r="I105" s="230">
        <v>3127.1</v>
      </c>
    </row>
    <row r="106" spans="1:9" s="129" customFormat="1" ht="168.75" customHeight="1">
      <c r="A106" s="252" t="s">
        <v>466</v>
      </c>
      <c r="B106" s="311"/>
      <c r="C106" s="245" t="s">
        <v>94</v>
      </c>
      <c r="D106" s="245" t="s">
        <v>19</v>
      </c>
      <c r="E106" s="245" t="s">
        <v>543</v>
      </c>
      <c r="F106" s="245"/>
      <c r="G106" s="230">
        <f>G107</f>
        <v>60</v>
      </c>
      <c r="H106" s="230">
        <f>H107</f>
        <v>52</v>
      </c>
      <c r="I106" s="230">
        <f>I107</f>
        <v>52</v>
      </c>
    </row>
    <row r="107" spans="1:9" s="129" customFormat="1" ht="43.5" customHeight="1">
      <c r="A107" s="180" t="s">
        <v>479</v>
      </c>
      <c r="B107" s="311"/>
      <c r="C107" s="245" t="s">
        <v>94</v>
      </c>
      <c r="D107" s="245" t="s">
        <v>19</v>
      </c>
      <c r="E107" s="245" t="s">
        <v>543</v>
      </c>
      <c r="F107" s="245" t="s">
        <v>480</v>
      </c>
      <c r="G107" s="230">
        <v>60</v>
      </c>
      <c r="H107" s="230">
        <v>52</v>
      </c>
      <c r="I107" s="230">
        <f>H107</f>
        <v>52</v>
      </c>
    </row>
    <row r="108" spans="1:9" s="129" customFormat="1" ht="45" customHeight="1">
      <c r="A108" s="249" t="s">
        <v>244</v>
      </c>
      <c r="B108" s="312"/>
      <c r="C108" s="248" t="s">
        <v>94</v>
      </c>
      <c r="D108" s="248" t="s">
        <v>89</v>
      </c>
      <c r="E108" s="248"/>
      <c r="F108" s="247"/>
      <c r="G108" s="181">
        <f>G112+G109</f>
        <v>7400.5000000000009</v>
      </c>
      <c r="H108" s="181">
        <f>H112+H109</f>
        <v>7430.8</v>
      </c>
      <c r="I108" s="181">
        <f>I112+I109</f>
        <v>8163.8</v>
      </c>
    </row>
    <row r="109" spans="1:9" s="129" customFormat="1" ht="156" customHeight="1">
      <c r="A109" s="180" t="s">
        <v>486</v>
      </c>
      <c r="B109" s="311"/>
      <c r="C109" s="245" t="s">
        <v>94</v>
      </c>
      <c r="D109" s="245" t="s">
        <v>89</v>
      </c>
      <c r="E109" s="245" t="s">
        <v>545</v>
      </c>
      <c r="F109" s="178"/>
      <c r="G109" s="230">
        <f>G110+G111</f>
        <v>5249.7000000000007</v>
      </c>
      <c r="H109" s="230">
        <f>H110+H111</f>
        <v>5280</v>
      </c>
      <c r="I109" s="230">
        <f>I110+I111</f>
        <v>5832.5</v>
      </c>
    </row>
    <row r="110" spans="1:9" s="129" customFormat="1" ht="109.5" customHeight="1">
      <c r="A110" s="180" t="s">
        <v>482</v>
      </c>
      <c r="B110" s="311"/>
      <c r="C110" s="245" t="s">
        <v>94</v>
      </c>
      <c r="D110" s="245" t="s">
        <v>89</v>
      </c>
      <c r="E110" s="245" t="s">
        <v>545</v>
      </c>
      <c r="F110" s="245" t="s">
        <v>483</v>
      </c>
      <c r="G110" s="230">
        <v>5102.6000000000004</v>
      </c>
      <c r="H110" s="230">
        <v>5280</v>
      </c>
      <c r="I110" s="230">
        <v>5832.5</v>
      </c>
    </row>
    <row r="111" spans="1:9" s="129" customFormat="1" ht="41.25" customHeight="1">
      <c r="A111" s="180" t="s">
        <v>630</v>
      </c>
      <c r="B111" s="311"/>
      <c r="C111" s="245" t="s">
        <v>94</v>
      </c>
      <c r="D111" s="245" t="s">
        <v>89</v>
      </c>
      <c r="E111" s="245" t="s">
        <v>545</v>
      </c>
      <c r="F111" s="245" t="s">
        <v>477</v>
      </c>
      <c r="G111" s="230">
        <v>147.1</v>
      </c>
      <c r="H111" s="230">
        <v>0</v>
      </c>
      <c r="I111" s="230">
        <v>0</v>
      </c>
    </row>
    <row r="112" spans="1:9" s="129" customFormat="1" ht="152.25" customHeight="1">
      <c r="A112" s="180" t="s">
        <v>487</v>
      </c>
      <c r="B112" s="311"/>
      <c r="C112" s="245" t="s">
        <v>94</v>
      </c>
      <c r="D112" s="245" t="s">
        <v>89</v>
      </c>
      <c r="E112" s="245" t="s">
        <v>522</v>
      </c>
      <c r="F112" s="178"/>
      <c r="G112" s="230">
        <f>G113</f>
        <v>2150.8000000000002</v>
      </c>
      <c r="H112" s="230">
        <f>H113</f>
        <v>2150.8000000000002</v>
      </c>
      <c r="I112" s="230">
        <f>I113</f>
        <v>2331.3000000000002</v>
      </c>
    </row>
    <row r="113" spans="1:9" s="129" customFormat="1" ht="106.5" customHeight="1">
      <c r="A113" s="180" t="s">
        <v>482</v>
      </c>
      <c r="B113" s="311"/>
      <c r="C113" s="245" t="s">
        <v>94</v>
      </c>
      <c r="D113" s="245" t="s">
        <v>89</v>
      </c>
      <c r="E113" s="245" t="s">
        <v>522</v>
      </c>
      <c r="F113" s="245" t="s">
        <v>483</v>
      </c>
      <c r="G113" s="230">
        <v>2150.8000000000002</v>
      </c>
      <c r="H113" s="230">
        <v>2150.8000000000002</v>
      </c>
      <c r="I113" s="230">
        <v>2331.3000000000002</v>
      </c>
    </row>
    <row r="114" spans="1:9" s="129" customFormat="1" ht="35.25" customHeight="1">
      <c r="A114" s="249" t="s">
        <v>166</v>
      </c>
      <c r="B114" s="312"/>
      <c r="C114" s="248" t="s">
        <v>154</v>
      </c>
      <c r="D114" s="248" t="s">
        <v>469</v>
      </c>
      <c r="E114" s="248"/>
      <c r="F114" s="248"/>
      <c r="G114" s="181">
        <f>G115</f>
        <v>1458.3</v>
      </c>
      <c r="H114" s="181">
        <f>H115</f>
        <v>8750</v>
      </c>
      <c r="I114" s="181">
        <f>I115</f>
        <v>8750</v>
      </c>
    </row>
    <row r="115" spans="1:9" s="129" customFormat="1" ht="37.5" customHeight="1">
      <c r="A115" s="249" t="s">
        <v>166</v>
      </c>
      <c r="B115" s="312"/>
      <c r="C115" s="248" t="s">
        <v>154</v>
      </c>
      <c r="D115" s="248" t="s">
        <v>10</v>
      </c>
      <c r="E115" s="248"/>
      <c r="F115" s="248"/>
      <c r="G115" s="181">
        <f t="shared" ref="G115:I116" si="10">G116</f>
        <v>1458.3</v>
      </c>
      <c r="H115" s="181">
        <f t="shared" si="10"/>
        <v>8750</v>
      </c>
      <c r="I115" s="181">
        <f t="shared" si="10"/>
        <v>8750</v>
      </c>
    </row>
    <row r="116" spans="1:9" s="129" customFormat="1" ht="39" customHeight="1">
      <c r="A116" s="180" t="s">
        <v>894</v>
      </c>
      <c r="B116" s="311"/>
      <c r="C116" s="245" t="s">
        <v>154</v>
      </c>
      <c r="D116" s="245" t="s">
        <v>10</v>
      </c>
      <c r="E116" s="245" t="s">
        <v>882</v>
      </c>
      <c r="F116" s="245"/>
      <c r="G116" s="230">
        <f t="shared" si="10"/>
        <v>1458.3</v>
      </c>
      <c r="H116" s="230">
        <f t="shared" si="10"/>
        <v>8750</v>
      </c>
      <c r="I116" s="230">
        <f t="shared" si="10"/>
        <v>8750</v>
      </c>
    </row>
    <row r="117" spans="1:9" s="129" customFormat="1" ht="42" customHeight="1">
      <c r="A117" s="180" t="s">
        <v>188</v>
      </c>
      <c r="B117" s="311"/>
      <c r="C117" s="245" t="s">
        <v>154</v>
      </c>
      <c r="D117" s="245" t="s">
        <v>10</v>
      </c>
      <c r="E117" s="245" t="s">
        <v>882</v>
      </c>
      <c r="F117" s="245" t="s">
        <v>883</v>
      </c>
      <c r="G117" s="230">
        <v>1458.3</v>
      </c>
      <c r="H117" s="230">
        <v>8750</v>
      </c>
      <c r="I117" s="230">
        <f>H117</f>
        <v>8750</v>
      </c>
    </row>
    <row r="118" spans="1:9" s="129" customFormat="1" ht="42" customHeight="1">
      <c r="A118" s="249" t="s">
        <v>132</v>
      </c>
      <c r="B118" s="312">
        <v>805</v>
      </c>
      <c r="C118" s="248"/>
      <c r="D118" s="248"/>
      <c r="E118" s="248"/>
      <c r="F118" s="248"/>
      <c r="G118" s="181">
        <f t="shared" ref="G118:I120" si="11">G119</f>
        <v>6017.4000000000005</v>
      </c>
      <c r="H118" s="181">
        <f t="shared" si="11"/>
        <v>6349.2000000000007</v>
      </c>
      <c r="I118" s="181">
        <f t="shared" si="11"/>
        <v>6349.2000000000007</v>
      </c>
    </row>
    <row r="119" spans="1:9" s="129" customFormat="1" ht="26.25" customHeight="1">
      <c r="A119" s="246" t="s">
        <v>9</v>
      </c>
      <c r="B119" s="312"/>
      <c r="C119" s="248" t="s">
        <v>10</v>
      </c>
      <c r="D119" s="248" t="s">
        <v>469</v>
      </c>
      <c r="E119" s="247"/>
      <c r="F119" s="247"/>
      <c r="G119" s="181">
        <f t="shared" si="11"/>
        <v>6017.4000000000005</v>
      </c>
      <c r="H119" s="181">
        <f t="shared" si="11"/>
        <v>6349.2000000000007</v>
      </c>
      <c r="I119" s="181">
        <f t="shared" si="11"/>
        <v>6349.2000000000007</v>
      </c>
    </row>
    <row r="120" spans="1:9" s="129" customFormat="1" ht="69.75" customHeight="1">
      <c r="A120" s="246" t="s">
        <v>133</v>
      </c>
      <c r="B120" s="248"/>
      <c r="C120" s="248" t="s">
        <v>10</v>
      </c>
      <c r="D120" s="248" t="s">
        <v>89</v>
      </c>
      <c r="E120" s="248"/>
      <c r="F120" s="248"/>
      <c r="G120" s="181">
        <f t="shared" si="11"/>
        <v>6017.4000000000005</v>
      </c>
      <c r="H120" s="181">
        <f t="shared" si="11"/>
        <v>6349.2000000000007</v>
      </c>
      <c r="I120" s="181">
        <f t="shared" si="11"/>
        <v>6349.2000000000007</v>
      </c>
    </row>
    <row r="121" spans="1:9" s="163" customFormat="1" ht="118.5" customHeight="1">
      <c r="A121" s="180" t="s">
        <v>493</v>
      </c>
      <c r="B121" s="245"/>
      <c r="C121" s="245" t="s">
        <v>10</v>
      </c>
      <c r="D121" s="245" t="s">
        <v>89</v>
      </c>
      <c r="E121" s="245" t="s">
        <v>523</v>
      </c>
      <c r="F121" s="245"/>
      <c r="G121" s="230">
        <f>SUM(G122:G124)</f>
        <v>6017.4000000000005</v>
      </c>
      <c r="H121" s="230">
        <f>SUM(H122:H124)</f>
        <v>6349.2000000000007</v>
      </c>
      <c r="I121" s="230">
        <f>SUM(I122:I124)</f>
        <v>6349.2000000000007</v>
      </c>
    </row>
    <row r="122" spans="1:9" s="129" customFormat="1" ht="100.5" customHeight="1">
      <c r="A122" s="180" t="s">
        <v>482</v>
      </c>
      <c r="B122" s="245"/>
      <c r="C122" s="245" t="s">
        <v>10</v>
      </c>
      <c r="D122" s="245" t="s">
        <v>89</v>
      </c>
      <c r="E122" s="245" t="s">
        <v>523</v>
      </c>
      <c r="F122" s="245" t="s">
        <v>483</v>
      </c>
      <c r="G122" s="230">
        <v>5443.7</v>
      </c>
      <c r="H122" s="230">
        <v>5431.6</v>
      </c>
      <c r="I122" s="230">
        <f>H122</f>
        <v>5431.6</v>
      </c>
    </row>
    <row r="123" spans="1:9" s="129" customFormat="1" ht="43.5" customHeight="1">
      <c r="A123" s="180" t="s">
        <v>630</v>
      </c>
      <c r="B123" s="245"/>
      <c r="C123" s="245" t="s">
        <v>10</v>
      </c>
      <c r="D123" s="245" t="s">
        <v>89</v>
      </c>
      <c r="E123" s="245" t="s">
        <v>523</v>
      </c>
      <c r="F123" s="245" t="s">
        <v>477</v>
      </c>
      <c r="G123" s="230">
        <v>553.6</v>
      </c>
      <c r="H123" s="230">
        <v>898.6</v>
      </c>
      <c r="I123" s="230">
        <f>H123</f>
        <v>898.6</v>
      </c>
    </row>
    <row r="124" spans="1:9" s="129" customFormat="1" ht="15.75">
      <c r="A124" s="180" t="s">
        <v>470</v>
      </c>
      <c r="B124" s="245"/>
      <c r="C124" s="245" t="s">
        <v>10</v>
      </c>
      <c r="D124" s="245" t="s">
        <v>89</v>
      </c>
      <c r="E124" s="245" t="s">
        <v>523</v>
      </c>
      <c r="F124" s="245" t="s">
        <v>471</v>
      </c>
      <c r="G124" s="230">
        <v>20.100000000000001</v>
      </c>
      <c r="H124" s="230">
        <v>19</v>
      </c>
      <c r="I124" s="230">
        <f>H124</f>
        <v>19</v>
      </c>
    </row>
    <row r="125" spans="1:9" s="129" customFormat="1" ht="92.25" customHeight="1">
      <c r="A125" s="249" t="s">
        <v>678</v>
      </c>
      <c r="B125" s="248" t="s">
        <v>172</v>
      </c>
      <c r="C125" s="248"/>
      <c r="D125" s="248"/>
      <c r="E125" s="248"/>
      <c r="F125" s="248"/>
      <c r="G125" s="181">
        <f>G130+G149+G183+G126</f>
        <v>1307492.7000000002</v>
      </c>
      <c r="H125" s="181">
        <f>H130+H149+H183+H126</f>
        <v>1054944.6000000001</v>
      </c>
      <c r="I125" s="181">
        <f>I130+I149+I183+I126</f>
        <v>1001498.8</v>
      </c>
    </row>
    <row r="126" spans="1:9" s="129" customFormat="1" ht="62.25" customHeight="1">
      <c r="A126" s="249" t="s">
        <v>32</v>
      </c>
      <c r="B126" s="312"/>
      <c r="C126" s="248" t="s">
        <v>12</v>
      </c>
      <c r="D126" s="245"/>
      <c r="E126" s="248"/>
      <c r="F126" s="248"/>
      <c r="G126" s="181">
        <f>G127</f>
        <v>764.3</v>
      </c>
      <c r="H126" s="181">
        <f t="shared" ref="H126:I128" si="12">H127</f>
        <v>0</v>
      </c>
      <c r="I126" s="181">
        <f t="shared" si="12"/>
        <v>0</v>
      </c>
    </row>
    <row r="127" spans="1:9" s="129" customFormat="1" ht="60.75" customHeight="1">
      <c r="A127" s="249" t="s">
        <v>472</v>
      </c>
      <c r="B127" s="312"/>
      <c r="C127" s="248" t="s">
        <v>12</v>
      </c>
      <c r="D127" s="248" t="s">
        <v>33</v>
      </c>
      <c r="E127" s="248"/>
      <c r="F127" s="248"/>
      <c r="G127" s="181">
        <f>G128</f>
        <v>764.3</v>
      </c>
      <c r="H127" s="181">
        <f t="shared" si="12"/>
        <v>0</v>
      </c>
      <c r="I127" s="181">
        <f t="shared" si="12"/>
        <v>0</v>
      </c>
    </row>
    <row r="128" spans="1:9" s="129" customFormat="1" ht="71.25" customHeight="1">
      <c r="A128" s="180" t="s">
        <v>671</v>
      </c>
      <c r="B128" s="311"/>
      <c r="C128" s="245" t="s">
        <v>12</v>
      </c>
      <c r="D128" s="245" t="s">
        <v>33</v>
      </c>
      <c r="E128" s="183" t="s">
        <v>654</v>
      </c>
      <c r="F128" s="245"/>
      <c r="G128" s="230">
        <f>G129</f>
        <v>764.3</v>
      </c>
      <c r="H128" s="230">
        <f t="shared" si="12"/>
        <v>0</v>
      </c>
      <c r="I128" s="230">
        <f t="shared" si="12"/>
        <v>0</v>
      </c>
    </row>
    <row r="129" spans="1:9" s="129" customFormat="1" ht="42" customHeight="1">
      <c r="A129" s="180" t="s">
        <v>630</v>
      </c>
      <c r="B129" s="311"/>
      <c r="C129" s="245" t="s">
        <v>12</v>
      </c>
      <c r="D129" s="245" t="s">
        <v>33</v>
      </c>
      <c r="E129" s="183" t="s">
        <v>654</v>
      </c>
      <c r="F129" s="245" t="s">
        <v>477</v>
      </c>
      <c r="G129" s="230">
        <v>764.3</v>
      </c>
      <c r="H129" s="230">
        <v>0</v>
      </c>
      <c r="I129" s="230">
        <v>0</v>
      </c>
    </row>
    <row r="130" spans="1:9" s="129" customFormat="1" ht="22.5" customHeight="1">
      <c r="A130" s="249" t="s">
        <v>39</v>
      </c>
      <c r="B130" s="312"/>
      <c r="C130" s="248" t="s">
        <v>19</v>
      </c>
      <c r="D130" s="248" t="s">
        <v>469</v>
      </c>
      <c r="E130" s="248"/>
      <c r="F130" s="248"/>
      <c r="G130" s="181">
        <f>G131</f>
        <v>950290.8</v>
      </c>
      <c r="H130" s="181">
        <f>H131</f>
        <v>839069.9</v>
      </c>
      <c r="I130" s="181">
        <f>I131</f>
        <v>852828.6</v>
      </c>
    </row>
    <row r="131" spans="1:9" s="129" customFormat="1" ht="27" customHeight="1">
      <c r="A131" s="246" t="s">
        <v>155</v>
      </c>
      <c r="B131" s="312"/>
      <c r="C131" s="248" t="s">
        <v>19</v>
      </c>
      <c r="D131" s="248" t="s">
        <v>33</v>
      </c>
      <c r="E131" s="248"/>
      <c r="F131" s="248"/>
      <c r="G131" s="181">
        <f>G132+G135+G138</f>
        <v>950290.8</v>
      </c>
      <c r="H131" s="181">
        <f>H132+H135+H138</f>
        <v>839069.9</v>
      </c>
      <c r="I131" s="181">
        <f>I132+I135+I138</f>
        <v>852828.6</v>
      </c>
    </row>
    <row r="132" spans="1:9" s="129" customFormat="1" ht="69.75" customHeight="1">
      <c r="A132" s="180" t="s">
        <v>607</v>
      </c>
      <c r="B132" s="312"/>
      <c r="C132" s="245" t="s">
        <v>19</v>
      </c>
      <c r="D132" s="245" t="s">
        <v>33</v>
      </c>
      <c r="E132" s="243" t="s">
        <v>557</v>
      </c>
      <c r="F132" s="245"/>
      <c r="G132" s="230">
        <f t="shared" ref="G132:I133" si="13">G133</f>
        <v>169</v>
      </c>
      <c r="H132" s="230">
        <f t="shared" si="13"/>
        <v>850</v>
      </c>
      <c r="I132" s="230">
        <f t="shared" si="13"/>
        <v>0</v>
      </c>
    </row>
    <row r="133" spans="1:9" s="129" customFormat="1" ht="72.75" customHeight="1">
      <c r="A133" s="180" t="s">
        <v>664</v>
      </c>
      <c r="B133" s="312"/>
      <c r="C133" s="245" t="s">
        <v>19</v>
      </c>
      <c r="D133" s="245" t="s">
        <v>33</v>
      </c>
      <c r="E133" s="243" t="s">
        <v>645</v>
      </c>
      <c r="F133" s="245"/>
      <c r="G133" s="230">
        <f t="shared" si="13"/>
        <v>169</v>
      </c>
      <c r="H133" s="230">
        <f t="shared" si="13"/>
        <v>850</v>
      </c>
      <c r="I133" s="230">
        <f t="shared" si="13"/>
        <v>0</v>
      </c>
    </row>
    <row r="134" spans="1:9" s="129" customFormat="1" ht="43.5" customHeight="1">
      <c r="A134" s="180" t="s">
        <v>630</v>
      </c>
      <c r="B134" s="312"/>
      <c r="C134" s="245" t="s">
        <v>19</v>
      </c>
      <c r="D134" s="245" t="s">
        <v>33</v>
      </c>
      <c r="E134" s="243" t="s">
        <v>645</v>
      </c>
      <c r="F134" s="245" t="s">
        <v>477</v>
      </c>
      <c r="G134" s="230">
        <v>169</v>
      </c>
      <c r="H134" s="230">
        <v>850</v>
      </c>
      <c r="I134" s="230">
        <v>0</v>
      </c>
    </row>
    <row r="135" spans="1:9" s="129" customFormat="1" ht="57.75" customHeight="1">
      <c r="A135" s="180" t="s">
        <v>641</v>
      </c>
      <c r="B135" s="312"/>
      <c r="C135" s="245" t="s">
        <v>19</v>
      </c>
      <c r="D135" s="245" t="s">
        <v>33</v>
      </c>
      <c r="E135" s="243" t="s">
        <v>642</v>
      </c>
      <c r="F135" s="245"/>
      <c r="G135" s="230">
        <f t="shared" ref="G135:I136" si="14">G136</f>
        <v>52825.3</v>
      </c>
      <c r="H135" s="230">
        <f t="shared" si="14"/>
        <v>1332.4</v>
      </c>
      <c r="I135" s="230">
        <f t="shared" si="14"/>
        <v>1332.4</v>
      </c>
    </row>
    <row r="136" spans="1:9" s="129" customFormat="1" ht="78" customHeight="1">
      <c r="A136" s="180" t="s">
        <v>867</v>
      </c>
      <c r="B136" s="312"/>
      <c r="C136" s="245" t="s">
        <v>19</v>
      </c>
      <c r="D136" s="245" t="s">
        <v>33</v>
      </c>
      <c r="E136" s="243" t="s">
        <v>866</v>
      </c>
      <c r="F136" s="245"/>
      <c r="G136" s="230">
        <f>G137</f>
        <v>52825.3</v>
      </c>
      <c r="H136" s="230">
        <f t="shared" si="14"/>
        <v>1332.4</v>
      </c>
      <c r="I136" s="230">
        <f t="shared" si="14"/>
        <v>1332.4</v>
      </c>
    </row>
    <row r="137" spans="1:9" s="129" customFormat="1" ht="38.25" customHeight="1">
      <c r="A137" s="180" t="s">
        <v>630</v>
      </c>
      <c r="B137" s="312"/>
      <c r="C137" s="245" t="s">
        <v>19</v>
      </c>
      <c r="D137" s="245" t="s">
        <v>33</v>
      </c>
      <c r="E137" s="243" t="s">
        <v>865</v>
      </c>
      <c r="F137" s="245" t="s">
        <v>477</v>
      </c>
      <c r="G137" s="309">
        <v>52825.3</v>
      </c>
      <c r="H137" s="230">
        <v>1332.4</v>
      </c>
      <c r="I137" s="230">
        <f>H137</f>
        <v>1332.4</v>
      </c>
    </row>
    <row r="138" spans="1:9" s="129" customFormat="1" ht="75" customHeight="1">
      <c r="A138" s="249" t="s">
        <v>926</v>
      </c>
      <c r="B138" s="312"/>
      <c r="C138" s="248" t="s">
        <v>19</v>
      </c>
      <c r="D138" s="248" t="s">
        <v>33</v>
      </c>
      <c r="E138" s="250" t="s">
        <v>576</v>
      </c>
      <c r="F138" s="248"/>
      <c r="G138" s="181">
        <f>G139+G145+G143+G147</f>
        <v>897296.5</v>
      </c>
      <c r="H138" s="181">
        <f>H139+H145+H143+H147</f>
        <v>836887.5</v>
      </c>
      <c r="I138" s="181">
        <f>I139+I145+I143+I147</f>
        <v>851496.2</v>
      </c>
    </row>
    <row r="139" spans="1:9" s="129" customFormat="1" ht="106.5" customHeight="1">
      <c r="A139" s="180" t="s">
        <v>927</v>
      </c>
      <c r="B139" s="311"/>
      <c r="C139" s="245" t="s">
        <v>19</v>
      </c>
      <c r="D139" s="245" t="s">
        <v>33</v>
      </c>
      <c r="E139" s="245" t="s">
        <v>508</v>
      </c>
      <c r="F139" s="245"/>
      <c r="G139" s="230">
        <f>G140+G141+G142</f>
        <v>339398.99999999994</v>
      </c>
      <c r="H139" s="230">
        <f>H140+H142</f>
        <v>356887.49999999994</v>
      </c>
      <c r="I139" s="230">
        <f>I140+I142</f>
        <v>371496.2</v>
      </c>
    </row>
    <row r="140" spans="1:9" s="163" customFormat="1" ht="46.5" customHeight="1">
      <c r="A140" s="180" t="s">
        <v>630</v>
      </c>
      <c r="B140" s="311"/>
      <c r="C140" s="245" t="s">
        <v>19</v>
      </c>
      <c r="D140" s="245" t="s">
        <v>33</v>
      </c>
      <c r="E140" s="245" t="s">
        <v>508</v>
      </c>
      <c r="F140" s="245" t="s">
        <v>477</v>
      </c>
      <c r="G140" s="230">
        <v>328876.09999999998</v>
      </c>
      <c r="H140" s="230">
        <f>341247.6+1332.3</f>
        <v>342579.89999999997</v>
      </c>
      <c r="I140" s="230">
        <f>379827.4-I142-I268</f>
        <v>357188.60000000003</v>
      </c>
    </row>
    <row r="141" spans="1:9" s="163" customFormat="1" ht="57" customHeight="1">
      <c r="A141" s="180" t="s">
        <v>1043</v>
      </c>
      <c r="B141" s="311"/>
      <c r="C141" s="245" t="s">
        <v>19</v>
      </c>
      <c r="D141" s="245" t="s">
        <v>33</v>
      </c>
      <c r="E141" s="245" t="s">
        <v>508</v>
      </c>
      <c r="F141" s="245" t="s">
        <v>481</v>
      </c>
      <c r="G141" s="230">
        <v>2277.6</v>
      </c>
      <c r="H141" s="230">
        <v>0</v>
      </c>
      <c r="I141" s="230">
        <v>0</v>
      </c>
    </row>
    <row r="142" spans="1:9" s="163" customFormat="1" ht="27" customHeight="1">
      <c r="A142" s="180" t="s">
        <v>470</v>
      </c>
      <c r="B142" s="311"/>
      <c r="C142" s="245" t="s">
        <v>19</v>
      </c>
      <c r="D142" s="245" t="s">
        <v>33</v>
      </c>
      <c r="E142" s="245" t="s">
        <v>508</v>
      </c>
      <c r="F142" s="245" t="s">
        <v>471</v>
      </c>
      <c r="G142" s="230">
        <v>8245.2999999999993</v>
      </c>
      <c r="H142" s="230">
        <v>14307.6</v>
      </c>
      <c r="I142" s="230">
        <f>H142</f>
        <v>14307.6</v>
      </c>
    </row>
    <row r="143" spans="1:9" s="163" customFormat="1" ht="78" customHeight="1">
      <c r="A143" s="180" t="s">
        <v>606</v>
      </c>
      <c r="B143" s="311"/>
      <c r="C143" s="245" t="s">
        <v>19</v>
      </c>
      <c r="D143" s="245" t="s">
        <v>33</v>
      </c>
      <c r="E143" s="245" t="s">
        <v>676</v>
      </c>
      <c r="F143" s="245"/>
      <c r="G143" s="230">
        <f>G144</f>
        <v>50000</v>
      </c>
      <c r="H143" s="230">
        <f>H144</f>
        <v>0</v>
      </c>
      <c r="I143" s="230">
        <f>I144</f>
        <v>0</v>
      </c>
    </row>
    <row r="144" spans="1:9" s="163" customFormat="1" ht="45" customHeight="1">
      <c r="A144" s="180" t="s">
        <v>630</v>
      </c>
      <c r="B144" s="311"/>
      <c r="C144" s="245" t="s">
        <v>19</v>
      </c>
      <c r="D144" s="245" t="s">
        <v>33</v>
      </c>
      <c r="E144" s="245" t="s">
        <v>676</v>
      </c>
      <c r="F144" s="245" t="s">
        <v>477</v>
      </c>
      <c r="G144" s="230">
        <v>50000</v>
      </c>
      <c r="H144" s="230">
        <v>0</v>
      </c>
      <c r="I144" s="230">
        <f>H144</f>
        <v>0</v>
      </c>
    </row>
    <row r="145" spans="1:9" s="163" customFormat="1" ht="76.5" customHeight="1">
      <c r="A145" s="180" t="s">
        <v>606</v>
      </c>
      <c r="B145" s="311"/>
      <c r="C145" s="245" t="s">
        <v>19</v>
      </c>
      <c r="D145" s="245" t="s">
        <v>33</v>
      </c>
      <c r="E145" s="245" t="s">
        <v>599</v>
      </c>
      <c r="F145" s="245"/>
      <c r="G145" s="230">
        <f>G146</f>
        <v>27897.5</v>
      </c>
      <c r="H145" s="230">
        <f>H146</f>
        <v>0</v>
      </c>
      <c r="I145" s="230">
        <f>I146</f>
        <v>0</v>
      </c>
    </row>
    <row r="146" spans="1:9" s="163" customFormat="1" ht="53.25" customHeight="1">
      <c r="A146" s="180" t="s">
        <v>1043</v>
      </c>
      <c r="B146" s="311"/>
      <c r="C146" s="245" t="s">
        <v>19</v>
      </c>
      <c r="D146" s="245" t="s">
        <v>33</v>
      </c>
      <c r="E146" s="245" t="s">
        <v>599</v>
      </c>
      <c r="F146" s="245" t="s">
        <v>481</v>
      </c>
      <c r="G146" s="230">
        <v>27897.5</v>
      </c>
      <c r="H146" s="230">
        <v>0</v>
      </c>
      <c r="I146" s="230">
        <v>0</v>
      </c>
    </row>
    <row r="147" spans="1:9" s="163" customFormat="1" ht="71.25" customHeight="1">
      <c r="A147" s="180" t="s">
        <v>1137</v>
      </c>
      <c r="B147" s="311"/>
      <c r="C147" s="245" t="s">
        <v>19</v>
      </c>
      <c r="D147" s="245" t="s">
        <v>33</v>
      </c>
      <c r="E147" s="245" t="s">
        <v>868</v>
      </c>
      <c r="F147" s="245"/>
      <c r="G147" s="230">
        <f>G148</f>
        <v>480000</v>
      </c>
      <c r="H147" s="230">
        <f>H148</f>
        <v>480000</v>
      </c>
      <c r="I147" s="230">
        <f>I148</f>
        <v>480000</v>
      </c>
    </row>
    <row r="148" spans="1:9" s="163" customFormat="1" ht="37.5" customHeight="1">
      <c r="A148" s="180" t="s">
        <v>630</v>
      </c>
      <c r="B148" s="311"/>
      <c r="C148" s="245" t="s">
        <v>19</v>
      </c>
      <c r="D148" s="245" t="s">
        <v>33</v>
      </c>
      <c r="E148" s="245" t="s">
        <v>868</v>
      </c>
      <c r="F148" s="245" t="s">
        <v>477</v>
      </c>
      <c r="G148" s="230">
        <v>480000</v>
      </c>
      <c r="H148" s="230">
        <f>48000+432000</f>
        <v>480000</v>
      </c>
      <c r="I148" s="230">
        <f>H148</f>
        <v>480000</v>
      </c>
    </row>
    <row r="149" spans="1:9" s="129" customFormat="1" ht="41.25" customHeight="1">
      <c r="A149" s="249" t="s">
        <v>43</v>
      </c>
      <c r="B149" s="312"/>
      <c r="C149" s="248" t="s">
        <v>44</v>
      </c>
      <c r="D149" s="248" t="s">
        <v>469</v>
      </c>
      <c r="E149" s="248"/>
      <c r="F149" s="248"/>
      <c r="G149" s="181">
        <f>G150+G159+G166+G178</f>
        <v>339361.10000000003</v>
      </c>
      <c r="H149" s="181">
        <f>H150+H159+H166+H178</f>
        <v>215874.7</v>
      </c>
      <c r="I149" s="181">
        <f>I150+I159+I166+I178</f>
        <v>148670.20000000001</v>
      </c>
    </row>
    <row r="150" spans="1:9" s="129" customFormat="1" ht="29.25" customHeight="1">
      <c r="A150" s="249" t="s">
        <v>45</v>
      </c>
      <c r="B150" s="312"/>
      <c r="C150" s="248" t="s">
        <v>44</v>
      </c>
      <c r="D150" s="248" t="s">
        <v>10</v>
      </c>
      <c r="E150" s="248"/>
      <c r="F150" s="248"/>
      <c r="G150" s="181">
        <f>G151+G153+G155</f>
        <v>137046.6</v>
      </c>
      <c r="H150" s="181">
        <f>H151+H153+H155+H157</f>
        <v>81094.600000000006</v>
      </c>
      <c r="I150" s="181">
        <f>I151+I153+I155+I157</f>
        <v>60554.1</v>
      </c>
    </row>
    <row r="151" spans="1:9" s="129" customFormat="1" ht="153.75" customHeight="1">
      <c r="A151" s="180" t="s">
        <v>939</v>
      </c>
      <c r="B151" s="311"/>
      <c r="C151" s="245" t="s">
        <v>44</v>
      </c>
      <c r="D151" s="245" t="s">
        <v>10</v>
      </c>
      <c r="E151" s="245" t="s">
        <v>510</v>
      </c>
      <c r="F151" s="245"/>
      <c r="G151" s="230">
        <f>G152</f>
        <v>3185.3</v>
      </c>
      <c r="H151" s="230">
        <f>H152</f>
        <v>3000</v>
      </c>
      <c r="I151" s="230">
        <f>I152</f>
        <v>3000</v>
      </c>
    </row>
    <row r="152" spans="1:9" s="129" customFormat="1" ht="39.75" customHeight="1">
      <c r="A152" s="180" t="s">
        <v>630</v>
      </c>
      <c r="B152" s="311"/>
      <c r="C152" s="245" t="s">
        <v>44</v>
      </c>
      <c r="D152" s="245" t="s">
        <v>10</v>
      </c>
      <c r="E152" s="245" t="s">
        <v>510</v>
      </c>
      <c r="F152" s="245" t="s">
        <v>477</v>
      </c>
      <c r="G152" s="230">
        <v>3185.3</v>
      </c>
      <c r="H152" s="230">
        <v>3000</v>
      </c>
      <c r="I152" s="230">
        <f>H152</f>
        <v>3000</v>
      </c>
    </row>
    <row r="153" spans="1:9" s="129" customFormat="1" ht="141" customHeight="1">
      <c r="A153" s="180" t="s">
        <v>925</v>
      </c>
      <c r="B153" s="311"/>
      <c r="C153" s="245" t="s">
        <v>44</v>
      </c>
      <c r="D153" s="245" t="s">
        <v>10</v>
      </c>
      <c r="E153" s="245" t="s">
        <v>511</v>
      </c>
      <c r="F153" s="245"/>
      <c r="G153" s="230">
        <f>G154</f>
        <v>11536.9</v>
      </c>
      <c r="H153" s="230">
        <f>H154</f>
        <v>6000</v>
      </c>
      <c r="I153" s="230">
        <f>I154</f>
        <v>6000</v>
      </c>
    </row>
    <row r="154" spans="1:9" s="129" customFormat="1" ht="46.5" customHeight="1">
      <c r="A154" s="180" t="s">
        <v>630</v>
      </c>
      <c r="B154" s="311"/>
      <c r="C154" s="245" t="s">
        <v>44</v>
      </c>
      <c r="D154" s="245" t="s">
        <v>10</v>
      </c>
      <c r="E154" s="245" t="s">
        <v>511</v>
      </c>
      <c r="F154" s="245" t="s">
        <v>477</v>
      </c>
      <c r="G154" s="230">
        <v>11536.9</v>
      </c>
      <c r="H154" s="230">
        <v>6000</v>
      </c>
      <c r="I154" s="230">
        <f>H154</f>
        <v>6000</v>
      </c>
    </row>
    <row r="155" spans="1:9" s="129" customFormat="1" ht="110.25">
      <c r="A155" s="180" t="s">
        <v>653</v>
      </c>
      <c r="B155" s="311"/>
      <c r="C155" s="245" t="s">
        <v>44</v>
      </c>
      <c r="D155" s="245" t="s">
        <v>10</v>
      </c>
      <c r="E155" s="245" t="s">
        <v>626</v>
      </c>
      <c r="F155" s="245"/>
      <c r="G155" s="230">
        <f>G156</f>
        <v>122324.4</v>
      </c>
      <c r="H155" s="230">
        <f>H156</f>
        <v>50000</v>
      </c>
      <c r="I155" s="230">
        <f>I156</f>
        <v>0</v>
      </c>
    </row>
    <row r="156" spans="1:9" s="129" customFormat="1" ht="47.25">
      <c r="A156" s="180" t="s">
        <v>1043</v>
      </c>
      <c r="B156" s="311"/>
      <c r="C156" s="245" t="s">
        <v>44</v>
      </c>
      <c r="D156" s="245" t="s">
        <v>10</v>
      </c>
      <c r="E156" s="245" t="s">
        <v>626</v>
      </c>
      <c r="F156" s="245" t="s">
        <v>481</v>
      </c>
      <c r="G156" s="230">
        <v>122324.4</v>
      </c>
      <c r="H156" s="230">
        <v>50000</v>
      </c>
      <c r="I156" s="230">
        <v>0</v>
      </c>
    </row>
    <row r="157" spans="1:9" s="129" customFormat="1" ht="63">
      <c r="A157" s="180" t="s">
        <v>1152</v>
      </c>
      <c r="B157" s="311"/>
      <c r="C157" s="245" t="s">
        <v>44</v>
      </c>
      <c r="D157" s="245" t="s">
        <v>10</v>
      </c>
      <c r="E157" s="245" t="s">
        <v>1129</v>
      </c>
      <c r="F157" s="245"/>
      <c r="G157" s="230">
        <f>G158</f>
        <v>0</v>
      </c>
      <c r="H157" s="230">
        <f>H158</f>
        <v>22094.6</v>
      </c>
      <c r="I157" s="230">
        <f>I158</f>
        <v>51554.1</v>
      </c>
    </row>
    <row r="158" spans="1:9" s="129" customFormat="1" ht="54.75" customHeight="1">
      <c r="A158" s="180" t="s">
        <v>1043</v>
      </c>
      <c r="B158" s="311"/>
      <c r="C158" s="245" t="s">
        <v>44</v>
      </c>
      <c r="D158" s="245" t="s">
        <v>10</v>
      </c>
      <c r="E158" s="245" t="s">
        <v>1129</v>
      </c>
      <c r="F158" s="245" t="s">
        <v>481</v>
      </c>
      <c r="G158" s="230">
        <v>0</v>
      </c>
      <c r="H158" s="230">
        <v>22094.6</v>
      </c>
      <c r="I158" s="230">
        <v>51554.1</v>
      </c>
    </row>
    <row r="159" spans="1:9" s="129" customFormat="1" ht="25.5" customHeight="1">
      <c r="A159" s="246" t="s">
        <v>293</v>
      </c>
      <c r="B159" s="312"/>
      <c r="C159" s="248" t="s">
        <v>44</v>
      </c>
      <c r="D159" s="248" t="s">
        <v>50</v>
      </c>
      <c r="E159" s="248"/>
      <c r="F159" s="248"/>
      <c r="G159" s="181">
        <f>G160+G163</f>
        <v>84682.3</v>
      </c>
      <c r="H159" s="181">
        <f>H160</f>
        <v>26664</v>
      </c>
      <c r="I159" s="181">
        <f>I160</f>
        <v>0</v>
      </c>
    </row>
    <row r="160" spans="1:9" s="129" customFormat="1" ht="108.75" customHeight="1">
      <c r="A160" s="180" t="s">
        <v>652</v>
      </c>
      <c r="B160" s="311"/>
      <c r="C160" s="245" t="s">
        <v>44</v>
      </c>
      <c r="D160" s="245" t="s">
        <v>50</v>
      </c>
      <c r="E160" s="245" t="s">
        <v>512</v>
      </c>
      <c r="F160" s="245"/>
      <c r="G160" s="230">
        <f>G161+G162</f>
        <v>81960.2</v>
      </c>
      <c r="H160" s="230">
        <f>H161+H162+H164+H165</f>
        <v>26664</v>
      </c>
      <c r="I160" s="230">
        <f>I161+I162+I164+I165</f>
        <v>0</v>
      </c>
    </row>
    <row r="161" spans="1:9" s="129" customFormat="1" ht="43.5" customHeight="1">
      <c r="A161" s="180" t="s">
        <v>630</v>
      </c>
      <c r="B161" s="311"/>
      <c r="C161" s="245" t="s">
        <v>44</v>
      </c>
      <c r="D161" s="245" t="s">
        <v>50</v>
      </c>
      <c r="E161" s="245" t="s">
        <v>512</v>
      </c>
      <c r="F161" s="245" t="s">
        <v>477</v>
      </c>
      <c r="G161" s="230">
        <v>40361</v>
      </c>
      <c r="H161" s="230">
        <v>26664</v>
      </c>
      <c r="I161" s="230">
        <v>0</v>
      </c>
    </row>
    <row r="162" spans="1:9" s="129" customFormat="1" ht="57.75" customHeight="1">
      <c r="A162" s="180" t="s">
        <v>1043</v>
      </c>
      <c r="B162" s="311"/>
      <c r="C162" s="245" t="s">
        <v>44</v>
      </c>
      <c r="D162" s="245" t="s">
        <v>50</v>
      </c>
      <c r="E162" s="245" t="s">
        <v>512</v>
      </c>
      <c r="F162" s="245" t="s">
        <v>481</v>
      </c>
      <c r="G162" s="230">
        <v>41599.199999999997</v>
      </c>
      <c r="H162" s="230">
        <v>0</v>
      </c>
      <c r="I162" s="230">
        <v>0</v>
      </c>
    </row>
    <row r="163" spans="1:9" s="129" customFormat="1" ht="134.25" customHeight="1">
      <c r="A163" s="180" t="s">
        <v>682</v>
      </c>
      <c r="B163" s="311"/>
      <c r="C163" s="245" t="s">
        <v>44</v>
      </c>
      <c r="D163" s="245" t="s">
        <v>50</v>
      </c>
      <c r="E163" s="245" t="s">
        <v>550</v>
      </c>
      <c r="F163" s="245"/>
      <c r="G163" s="230">
        <f>G164+G165</f>
        <v>2722.1</v>
      </c>
      <c r="H163" s="230">
        <v>0</v>
      </c>
      <c r="I163" s="230">
        <v>0</v>
      </c>
    </row>
    <row r="164" spans="1:9" s="129" customFormat="1" ht="37.5" customHeight="1">
      <c r="A164" s="180" t="s">
        <v>630</v>
      </c>
      <c r="B164" s="311"/>
      <c r="C164" s="245" t="s">
        <v>44</v>
      </c>
      <c r="D164" s="245" t="s">
        <v>50</v>
      </c>
      <c r="E164" s="245" t="s">
        <v>550</v>
      </c>
      <c r="F164" s="245" t="s">
        <v>477</v>
      </c>
      <c r="G164" s="230">
        <v>1325.1</v>
      </c>
      <c r="H164" s="230">
        <v>0</v>
      </c>
      <c r="I164" s="230">
        <v>0</v>
      </c>
    </row>
    <row r="165" spans="1:9" s="129" customFormat="1" ht="51.75" customHeight="1">
      <c r="A165" s="180" t="s">
        <v>1043</v>
      </c>
      <c r="B165" s="311"/>
      <c r="C165" s="245" t="s">
        <v>44</v>
      </c>
      <c r="D165" s="245" t="s">
        <v>50</v>
      </c>
      <c r="E165" s="245" t="s">
        <v>550</v>
      </c>
      <c r="F165" s="245" t="s">
        <v>481</v>
      </c>
      <c r="G165" s="230">
        <v>1397</v>
      </c>
      <c r="H165" s="230">
        <v>0</v>
      </c>
      <c r="I165" s="230">
        <v>0</v>
      </c>
    </row>
    <row r="166" spans="1:9" s="129" customFormat="1" ht="22.5" customHeight="1">
      <c r="A166" s="249" t="s">
        <v>51</v>
      </c>
      <c r="B166" s="312"/>
      <c r="C166" s="248" t="s">
        <v>44</v>
      </c>
      <c r="D166" s="248" t="s">
        <v>12</v>
      </c>
      <c r="E166" s="248"/>
      <c r="F166" s="248"/>
      <c r="G166" s="181">
        <f>G169+G171+G173+G176+G167</f>
        <v>81029.399999999994</v>
      </c>
      <c r="H166" s="181">
        <f>H169+H171+H173+H176+H167</f>
        <v>75971.100000000006</v>
      </c>
      <c r="I166" s="181">
        <f>I169+I171+I173+I176+I167</f>
        <v>55971.1</v>
      </c>
    </row>
    <row r="167" spans="1:9" s="129" customFormat="1" ht="74.25" customHeight="1">
      <c r="A167" s="180" t="s">
        <v>640</v>
      </c>
      <c r="B167" s="311"/>
      <c r="C167" s="245" t="s">
        <v>44</v>
      </c>
      <c r="D167" s="245" t="s">
        <v>12</v>
      </c>
      <c r="E167" s="245" t="s">
        <v>865</v>
      </c>
      <c r="F167" s="245"/>
      <c r="G167" s="230">
        <f>G168</f>
        <v>28990.1</v>
      </c>
      <c r="H167" s="230">
        <f>H168</f>
        <v>667.6</v>
      </c>
      <c r="I167" s="230">
        <f>I168</f>
        <v>667.6</v>
      </c>
    </row>
    <row r="168" spans="1:9" s="129" customFormat="1" ht="42.75" customHeight="1">
      <c r="A168" s="180" t="s">
        <v>630</v>
      </c>
      <c r="B168" s="311"/>
      <c r="C168" s="245" t="s">
        <v>44</v>
      </c>
      <c r="D168" s="245" t="s">
        <v>12</v>
      </c>
      <c r="E168" s="245" t="s">
        <v>865</v>
      </c>
      <c r="F168" s="245" t="s">
        <v>477</v>
      </c>
      <c r="G168" s="230">
        <v>28990.1</v>
      </c>
      <c r="H168" s="230">
        <v>667.6</v>
      </c>
      <c r="I168" s="230">
        <f>H168</f>
        <v>667.6</v>
      </c>
    </row>
    <row r="169" spans="1:9" s="129" customFormat="1" ht="118.5" customHeight="1">
      <c r="A169" s="180" t="s">
        <v>923</v>
      </c>
      <c r="B169" s="311"/>
      <c r="C169" s="245" t="s">
        <v>44</v>
      </c>
      <c r="D169" s="245" t="s">
        <v>12</v>
      </c>
      <c r="E169" s="245" t="s">
        <v>513</v>
      </c>
      <c r="F169" s="245"/>
      <c r="G169" s="230">
        <f>G170</f>
        <v>7288</v>
      </c>
      <c r="H169" s="230">
        <f>H170</f>
        <v>4326.5</v>
      </c>
      <c r="I169" s="230">
        <f>SUM(I170:I170)</f>
        <v>4326.5</v>
      </c>
    </row>
    <row r="170" spans="1:9" s="129" customFormat="1" ht="31.5">
      <c r="A170" s="180" t="s">
        <v>630</v>
      </c>
      <c r="B170" s="311"/>
      <c r="C170" s="245" t="s">
        <v>44</v>
      </c>
      <c r="D170" s="245" t="s">
        <v>12</v>
      </c>
      <c r="E170" s="245" t="s">
        <v>513</v>
      </c>
      <c r="F170" s="245" t="s">
        <v>477</v>
      </c>
      <c r="G170" s="230">
        <v>7288</v>
      </c>
      <c r="H170" s="230">
        <v>4326.5</v>
      </c>
      <c r="I170" s="230">
        <f>H170</f>
        <v>4326.5</v>
      </c>
    </row>
    <row r="171" spans="1:9" s="163" customFormat="1" ht="116.25" customHeight="1">
      <c r="A171" s="180" t="s">
        <v>928</v>
      </c>
      <c r="B171" s="311"/>
      <c r="C171" s="245" t="s">
        <v>44</v>
      </c>
      <c r="D171" s="245" t="s">
        <v>12</v>
      </c>
      <c r="E171" s="245" t="s">
        <v>514</v>
      </c>
      <c r="F171" s="245"/>
      <c r="G171" s="230">
        <f>G172</f>
        <v>20497.7</v>
      </c>
      <c r="H171" s="230">
        <f>H172</f>
        <v>13690</v>
      </c>
      <c r="I171" s="230">
        <f>I172</f>
        <v>13690</v>
      </c>
    </row>
    <row r="172" spans="1:9" s="129" customFormat="1" ht="38.25" customHeight="1">
      <c r="A172" s="180" t="s">
        <v>630</v>
      </c>
      <c r="B172" s="311"/>
      <c r="C172" s="245" t="s">
        <v>44</v>
      </c>
      <c r="D172" s="245" t="s">
        <v>12</v>
      </c>
      <c r="E172" s="245" t="s">
        <v>514</v>
      </c>
      <c r="F172" s="245" t="s">
        <v>477</v>
      </c>
      <c r="G172" s="230">
        <v>20497.7</v>
      </c>
      <c r="H172" s="230">
        <v>13690</v>
      </c>
      <c r="I172" s="230">
        <f>H172</f>
        <v>13690</v>
      </c>
    </row>
    <row r="173" spans="1:9" s="129" customFormat="1" ht="130.5" customHeight="1">
      <c r="A173" s="180" t="s">
        <v>929</v>
      </c>
      <c r="B173" s="311"/>
      <c r="C173" s="245" t="s">
        <v>44</v>
      </c>
      <c r="D173" s="245" t="s">
        <v>12</v>
      </c>
      <c r="E173" s="245" t="s">
        <v>515</v>
      </c>
      <c r="F173" s="245"/>
      <c r="G173" s="230">
        <f>G174+G175</f>
        <v>3870</v>
      </c>
      <c r="H173" s="230">
        <f>H174+H175</f>
        <v>6000</v>
      </c>
      <c r="I173" s="230">
        <f>I174+I175</f>
        <v>6000</v>
      </c>
    </row>
    <row r="174" spans="1:9" s="163" customFormat="1" ht="42" customHeight="1">
      <c r="A174" s="180" t="s">
        <v>630</v>
      </c>
      <c r="B174" s="311"/>
      <c r="C174" s="245" t="s">
        <v>44</v>
      </c>
      <c r="D174" s="245" t="s">
        <v>12</v>
      </c>
      <c r="E174" s="245" t="s">
        <v>515</v>
      </c>
      <c r="F174" s="245" t="s">
        <v>477</v>
      </c>
      <c r="G174" s="230">
        <v>670</v>
      </c>
      <c r="H174" s="230">
        <v>0</v>
      </c>
      <c r="I174" s="230">
        <f>H174</f>
        <v>0</v>
      </c>
    </row>
    <row r="175" spans="1:9" s="163" customFormat="1" ht="59.25" customHeight="1">
      <c r="A175" s="180" t="s">
        <v>485</v>
      </c>
      <c r="B175" s="311"/>
      <c r="C175" s="245" t="s">
        <v>44</v>
      </c>
      <c r="D175" s="245" t="s">
        <v>12</v>
      </c>
      <c r="E175" s="245" t="s">
        <v>515</v>
      </c>
      <c r="F175" s="245" t="s">
        <v>484</v>
      </c>
      <c r="G175" s="230">
        <v>3200</v>
      </c>
      <c r="H175" s="230">
        <v>6000</v>
      </c>
      <c r="I175" s="230">
        <f>H175</f>
        <v>6000</v>
      </c>
    </row>
    <row r="176" spans="1:9" s="129" customFormat="1" ht="136.5" customHeight="1">
      <c r="A176" s="180" t="s">
        <v>930</v>
      </c>
      <c r="B176" s="311"/>
      <c r="C176" s="245" t="s">
        <v>44</v>
      </c>
      <c r="D176" s="245" t="s">
        <v>12</v>
      </c>
      <c r="E176" s="245" t="s">
        <v>516</v>
      </c>
      <c r="F176" s="245"/>
      <c r="G176" s="230">
        <f>SUM(G177:G177)</f>
        <v>20383.599999999999</v>
      </c>
      <c r="H176" s="230">
        <f>SUM(H177:H177)</f>
        <v>51287</v>
      </c>
      <c r="I176" s="230">
        <f>SUM(I177:I177)</f>
        <v>31287</v>
      </c>
    </row>
    <row r="177" spans="1:9" s="129" customFormat="1" ht="46.5" customHeight="1">
      <c r="A177" s="180" t="s">
        <v>630</v>
      </c>
      <c r="B177" s="311"/>
      <c r="C177" s="245" t="s">
        <v>44</v>
      </c>
      <c r="D177" s="245" t="s">
        <v>12</v>
      </c>
      <c r="E177" s="245" t="s">
        <v>516</v>
      </c>
      <c r="F177" s="245" t="s">
        <v>477</v>
      </c>
      <c r="G177" s="230">
        <v>20383.599999999999</v>
      </c>
      <c r="H177" s="230">
        <f>52619.3-1332.3</f>
        <v>51287</v>
      </c>
      <c r="I177" s="230">
        <v>31287</v>
      </c>
    </row>
    <row r="178" spans="1:9" s="129" customFormat="1" ht="45" customHeight="1">
      <c r="A178" s="249" t="s">
        <v>62</v>
      </c>
      <c r="B178" s="312"/>
      <c r="C178" s="248" t="s">
        <v>44</v>
      </c>
      <c r="D178" s="248" t="s">
        <v>44</v>
      </c>
      <c r="E178" s="248"/>
      <c r="F178" s="248"/>
      <c r="G178" s="181">
        <f>G179</f>
        <v>36602.800000000003</v>
      </c>
      <c r="H178" s="181">
        <f>H179</f>
        <v>32145</v>
      </c>
      <c r="I178" s="181">
        <f>I179</f>
        <v>32145</v>
      </c>
    </row>
    <row r="179" spans="1:9" s="129" customFormat="1" ht="145.5" customHeight="1">
      <c r="A179" s="180" t="s">
        <v>931</v>
      </c>
      <c r="B179" s="311"/>
      <c r="C179" s="245" t="s">
        <v>44</v>
      </c>
      <c r="D179" s="245" t="s">
        <v>44</v>
      </c>
      <c r="E179" s="243" t="s">
        <v>591</v>
      </c>
      <c r="F179" s="245"/>
      <c r="G179" s="230">
        <f>SUM(G180:G182)</f>
        <v>36602.800000000003</v>
      </c>
      <c r="H179" s="230">
        <f>SUM(H180:H182)</f>
        <v>32145</v>
      </c>
      <c r="I179" s="230">
        <f>SUM(I180:I182)</f>
        <v>32145</v>
      </c>
    </row>
    <row r="180" spans="1:9" s="129" customFormat="1" ht="102" customHeight="1">
      <c r="A180" s="180" t="s">
        <v>482</v>
      </c>
      <c r="B180" s="311"/>
      <c r="C180" s="245" t="s">
        <v>44</v>
      </c>
      <c r="D180" s="245" t="s">
        <v>44</v>
      </c>
      <c r="E180" s="243" t="s">
        <v>560</v>
      </c>
      <c r="F180" s="245" t="s">
        <v>483</v>
      </c>
      <c r="G180" s="230">
        <v>27030.2</v>
      </c>
      <c r="H180" s="230">
        <v>27257.9</v>
      </c>
      <c r="I180" s="230">
        <f>H180</f>
        <v>27257.9</v>
      </c>
    </row>
    <row r="181" spans="1:9" s="129" customFormat="1" ht="38.25" customHeight="1">
      <c r="A181" s="180" t="s">
        <v>630</v>
      </c>
      <c r="B181" s="311"/>
      <c r="C181" s="245" t="s">
        <v>44</v>
      </c>
      <c r="D181" s="245" t="s">
        <v>44</v>
      </c>
      <c r="E181" s="243" t="s">
        <v>560</v>
      </c>
      <c r="F181" s="245" t="s">
        <v>477</v>
      </c>
      <c r="G181" s="230">
        <v>4551.6000000000004</v>
      </c>
      <c r="H181" s="230">
        <v>4095</v>
      </c>
      <c r="I181" s="230">
        <f>H181</f>
        <v>4095</v>
      </c>
    </row>
    <row r="182" spans="1:9" s="129" customFormat="1" ht="26.25" customHeight="1">
      <c r="A182" s="180" t="s">
        <v>470</v>
      </c>
      <c r="B182" s="311"/>
      <c r="C182" s="245" t="s">
        <v>44</v>
      </c>
      <c r="D182" s="245" t="s">
        <v>44</v>
      </c>
      <c r="E182" s="243" t="s">
        <v>560</v>
      </c>
      <c r="F182" s="245" t="s">
        <v>471</v>
      </c>
      <c r="G182" s="230">
        <v>5021</v>
      </c>
      <c r="H182" s="230">
        <v>792.1</v>
      </c>
      <c r="I182" s="230">
        <f>H182</f>
        <v>792.1</v>
      </c>
    </row>
    <row r="183" spans="1:9" s="129" customFormat="1" ht="26.25" customHeight="1">
      <c r="A183" s="249" t="s">
        <v>137</v>
      </c>
      <c r="B183" s="312"/>
      <c r="C183" s="248" t="s">
        <v>22</v>
      </c>
      <c r="D183" s="248" t="s">
        <v>469</v>
      </c>
      <c r="E183" s="310"/>
      <c r="F183" s="248"/>
      <c r="G183" s="181">
        <f t="shared" ref="G183:I184" si="15">G184</f>
        <v>17076.5</v>
      </c>
      <c r="H183" s="181">
        <f t="shared" si="15"/>
        <v>0</v>
      </c>
      <c r="I183" s="181">
        <f t="shared" si="15"/>
        <v>0</v>
      </c>
    </row>
    <row r="184" spans="1:9" s="129" customFormat="1" ht="36" customHeight="1">
      <c r="A184" s="180" t="s">
        <v>881</v>
      </c>
      <c r="B184" s="311"/>
      <c r="C184" s="245" t="s">
        <v>22</v>
      </c>
      <c r="D184" s="245" t="s">
        <v>50</v>
      </c>
      <c r="E184" s="251" t="s">
        <v>870</v>
      </c>
      <c r="F184" s="245"/>
      <c r="G184" s="230">
        <f t="shared" si="15"/>
        <v>17076.5</v>
      </c>
      <c r="H184" s="230">
        <f t="shared" si="15"/>
        <v>0</v>
      </c>
      <c r="I184" s="230">
        <f t="shared" si="15"/>
        <v>0</v>
      </c>
    </row>
    <row r="185" spans="1:9" s="129" customFormat="1" ht="61.5" customHeight="1">
      <c r="A185" s="180" t="s">
        <v>1043</v>
      </c>
      <c r="B185" s="311"/>
      <c r="C185" s="245" t="s">
        <v>22</v>
      </c>
      <c r="D185" s="245" t="s">
        <v>50</v>
      </c>
      <c r="E185" s="251" t="s">
        <v>871</v>
      </c>
      <c r="F185" s="245" t="s">
        <v>481</v>
      </c>
      <c r="G185" s="230">
        <v>17076.5</v>
      </c>
      <c r="H185" s="230">
        <v>0</v>
      </c>
      <c r="I185" s="230">
        <v>0</v>
      </c>
    </row>
    <row r="186" spans="1:9" s="129" customFormat="1" ht="53.25" customHeight="1">
      <c r="A186" s="249" t="s">
        <v>473</v>
      </c>
      <c r="B186" s="248" t="s">
        <v>226</v>
      </c>
      <c r="C186" s="248"/>
      <c r="D186" s="248"/>
      <c r="E186" s="248"/>
      <c r="F186" s="248"/>
      <c r="G186" s="181">
        <f t="shared" ref="G186:I188" si="16">G187</f>
        <v>13594.9</v>
      </c>
      <c r="H186" s="181">
        <f t="shared" si="16"/>
        <v>13686.9</v>
      </c>
      <c r="I186" s="181">
        <f t="shared" si="16"/>
        <v>13726.8</v>
      </c>
    </row>
    <row r="187" spans="1:9" s="163" customFormat="1" ht="25.5" customHeight="1">
      <c r="A187" s="249" t="s">
        <v>9</v>
      </c>
      <c r="B187" s="312"/>
      <c r="C187" s="248" t="s">
        <v>10</v>
      </c>
      <c r="D187" s="248" t="s">
        <v>469</v>
      </c>
      <c r="E187" s="248"/>
      <c r="F187" s="248"/>
      <c r="G187" s="181">
        <f t="shared" si="16"/>
        <v>13594.9</v>
      </c>
      <c r="H187" s="181">
        <f t="shared" si="16"/>
        <v>13686.9</v>
      </c>
      <c r="I187" s="181">
        <f t="shared" si="16"/>
        <v>13726.8</v>
      </c>
    </row>
    <row r="188" spans="1:9" s="129" customFormat="1" ht="26.25" customHeight="1">
      <c r="A188" s="249" t="s">
        <v>28</v>
      </c>
      <c r="B188" s="312"/>
      <c r="C188" s="248" t="s">
        <v>10</v>
      </c>
      <c r="D188" s="248" t="s">
        <v>154</v>
      </c>
      <c r="E188" s="248"/>
      <c r="F188" s="248"/>
      <c r="G188" s="181">
        <f>G189</f>
        <v>13594.9</v>
      </c>
      <c r="H188" s="181">
        <f t="shared" si="16"/>
        <v>13686.9</v>
      </c>
      <c r="I188" s="181">
        <f t="shared" si="16"/>
        <v>13726.8</v>
      </c>
    </row>
    <row r="189" spans="1:9" s="129" customFormat="1" ht="93.75" customHeight="1">
      <c r="A189" s="180" t="s">
        <v>468</v>
      </c>
      <c r="B189" s="311"/>
      <c r="C189" s="245" t="s">
        <v>10</v>
      </c>
      <c r="D189" s="245" t="s">
        <v>154</v>
      </c>
      <c r="E189" s="245" t="s">
        <v>524</v>
      </c>
      <c r="F189" s="245"/>
      <c r="G189" s="230">
        <f>G190+G191+G192</f>
        <v>13594.9</v>
      </c>
      <c r="H189" s="230">
        <f>H190+H191</f>
        <v>13686.9</v>
      </c>
      <c r="I189" s="230">
        <f>I190+I191</f>
        <v>13726.8</v>
      </c>
    </row>
    <row r="190" spans="1:9" s="129" customFormat="1" ht="102" customHeight="1">
      <c r="A190" s="180" t="s">
        <v>482</v>
      </c>
      <c r="B190" s="311"/>
      <c r="C190" s="245" t="s">
        <v>10</v>
      </c>
      <c r="D190" s="245" t="s">
        <v>154</v>
      </c>
      <c r="E190" s="245" t="s">
        <v>524</v>
      </c>
      <c r="F190" s="245" t="s">
        <v>483</v>
      </c>
      <c r="G190" s="230">
        <v>9503.7999999999993</v>
      </c>
      <c r="H190" s="230">
        <v>10975</v>
      </c>
      <c r="I190" s="230">
        <f>H190</f>
        <v>10975</v>
      </c>
    </row>
    <row r="191" spans="1:9" s="129" customFormat="1" ht="39" customHeight="1">
      <c r="A191" s="180" t="s">
        <v>630</v>
      </c>
      <c r="B191" s="311"/>
      <c r="C191" s="245" t="s">
        <v>10</v>
      </c>
      <c r="D191" s="245" t="s">
        <v>154</v>
      </c>
      <c r="E191" s="245" t="s">
        <v>524</v>
      </c>
      <c r="F191" s="245" t="s">
        <v>477</v>
      </c>
      <c r="G191" s="230">
        <v>4081.1</v>
      </c>
      <c r="H191" s="230">
        <v>2711.9</v>
      </c>
      <c r="I191" s="230">
        <v>2751.8</v>
      </c>
    </row>
    <row r="192" spans="1:9" s="129" customFormat="1" ht="29.25" customHeight="1">
      <c r="A192" s="180" t="s">
        <v>470</v>
      </c>
      <c r="B192" s="311"/>
      <c r="C192" s="245" t="s">
        <v>10</v>
      </c>
      <c r="D192" s="245" t="s">
        <v>154</v>
      </c>
      <c r="E192" s="245" t="s">
        <v>524</v>
      </c>
      <c r="F192" s="245" t="s">
        <v>471</v>
      </c>
      <c r="G192" s="230">
        <v>10</v>
      </c>
      <c r="H192" s="230">
        <v>0</v>
      </c>
      <c r="I192" s="230">
        <v>0</v>
      </c>
    </row>
    <row r="193" spans="1:9" s="129" customFormat="1" ht="41.25" customHeight="1">
      <c r="A193" s="249" t="s">
        <v>378</v>
      </c>
      <c r="B193" s="312">
        <v>830</v>
      </c>
      <c r="C193" s="248"/>
      <c r="D193" s="248"/>
      <c r="E193" s="248"/>
      <c r="F193" s="248"/>
      <c r="G193" s="181">
        <f>G194</f>
        <v>6675.7</v>
      </c>
      <c r="H193" s="181">
        <f t="shared" ref="G193:I195" si="17">H194</f>
        <v>6967.1</v>
      </c>
      <c r="I193" s="181">
        <f t="shared" si="17"/>
        <v>6967.1</v>
      </c>
    </row>
    <row r="194" spans="1:9" s="129" customFormat="1" ht="25.5" customHeight="1">
      <c r="A194" s="246" t="s">
        <v>9</v>
      </c>
      <c r="B194" s="311"/>
      <c r="C194" s="248" t="s">
        <v>10</v>
      </c>
      <c r="D194" s="248" t="s">
        <v>469</v>
      </c>
      <c r="E194" s="245"/>
      <c r="F194" s="245"/>
      <c r="G194" s="181">
        <f t="shared" si="17"/>
        <v>6675.7</v>
      </c>
      <c r="H194" s="181">
        <f t="shared" si="17"/>
        <v>6967.1</v>
      </c>
      <c r="I194" s="181">
        <f t="shared" si="17"/>
        <v>6967.1</v>
      </c>
    </row>
    <row r="195" spans="1:9" s="129" customFormat="1" ht="79.5" customHeight="1">
      <c r="A195" s="249" t="s">
        <v>11</v>
      </c>
      <c r="B195" s="312"/>
      <c r="C195" s="248" t="s">
        <v>10</v>
      </c>
      <c r="D195" s="248" t="s">
        <v>12</v>
      </c>
      <c r="E195" s="248"/>
      <c r="F195" s="248"/>
      <c r="G195" s="181">
        <f t="shared" si="17"/>
        <v>6675.7</v>
      </c>
      <c r="H195" s="181">
        <f t="shared" si="17"/>
        <v>6967.1</v>
      </c>
      <c r="I195" s="181">
        <f t="shared" si="17"/>
        <v>6967.1</v>
      </c>
    </row>
    <row r="196" spans="1:9" s="129" customFormat="1" ht="127.5" customHeight="1">
      <c r="A196" s="180" t="s">
        <v>494</v>
      </c>
      <c r="B196" s="312"/>
      <c r="C196" s="245" t="s">
        <v>10</v>
      </c>
      <c r="D196" s="245" t="s">
        <v>12</v>
      </c>
      <c r="E196" s="245" t="s">
        <v>527</v>
      </c>
      <c r="F196" s="245"/>
      <c r="G196" s="230">
        <f>SUM(G197:G199)</f>
        <v>6675.7</v>
      </c>
      <c r="H196" s="230">
        <f>SUM(H197:H199)</f>
        <v>6967.1</v>
      </c>
      <c r="I196" s="230">
        <f>SUM(I197:I199)</f>
        <v>6967.1</v>
      </c>
    </row>
    <row r="197" spans="1:9" s="129" customFormat="1" ht="108.75" customHeight="1">
      <c r="A197" s="180" t="s">
        <v>482</v>
      </c>
      <c r="B197" s="311"/>
      <c r="C197" s="245" t="s">
        <v>10</v>
      </c>
      <c r="D197" s="245" t="s">
        <v>12</v>
      </c>
      <c r="E197" s="245" t="s">
        <v>527</v>
      </c>
      <c r="F197" s="245" t="s">
        <v>483</v>
      </c>
      <c r="G197" s="230">
        <v>5919.8</v>
      </c>
      <c r="H197" s="230">
        <v>6158.3</v>
      </c>
      <c r="I197" s="230">
        <f>H197</f>
        <v>6158.3</v>
      </c>
    </row>
    <row r="198" spans="1:9" s="129" customFormat="1" ht="41.25" customHeight="1">
      <c r="A198" s="180" t="s">
        <v>630</v>
      </c>
      <c r="B198" s="311"/>
      <c r="C198" s="245" t="s">
        <v>10</v>
      </c>
      <c r="D198" s="245" t="s">
        <v>12</v>
      </c>
      <c r="E198" s="245" t="s">
        <v>527</v>
      </c>
      <c r="F198" s="245" t="s">
        <v>477</v>
      </c>
      <c r="G198" s="230">
        <v>755.4</v>
      </c>
      <c r="H198" s="230">
        <v>793.8</v>
      </c>
      <c r="I198" s="230">
        <f>H198</f>
        <v>793.8</v>
      </c>
    </row>
    <row r="199" spans="1:9" s="129" customFormat="1" ht="27" customHeight="1">
      <c r="A199" s="180" t="s">
        <v>470</v>
      </c>
      <c r="B199" s="311"/>
      <c r="C199" s="245" t="s">
        <v>10</v>
      </c>
      <c r="D199" s="245" t="s">
        <v>12</v>
      </c>
      <c r="E199" s="245" t="s">
        <v>527</v>
      </c>
      <c r="F199" s="245" t="s">
        <v>471</v>
      </c>
      <c r="G199" s="230">
        <v>0.5</v>
      </c>
      <c r="H199" s="230">
        <v>15</v>
      </c>
      <c r="I199" s="230">
        <f>H199</f>
        <v>15</v>
      </c>
    </row>
    <row r="200" spans="1:9" s="129" customFormat="1" ht="68.25" customHeight="1">
      <c r="A200" s="246" t="s">
        <v>669</v>
      </c>
      <c r="B200" s="312">
        <v>832</v>
      </c>
      <c r="C200" s="248"/>
      <c r="D200" s="248"/>
      <c r="E200" s="248"/>
      <c r="F200" s="248"/>
      <c r="G200" s="181">
        <f t="shared" ref="G200:I201" si="18">G201</f>
        <v>13775.2</v>
      </c>
      <c r="H200" s="181">
        <f t="shared" si="18"/>
        <v>15993.5</v>
      </c>
      <c r="I200" s="181">
        <f t="shared" si="18"/>
        <v>14793.5</v>
      </c>
    </row>
    <row r="201" spans="1:9" s="163" customFormat="1" ht="23.25" customHeight="1">
      <c r="A201" s="249" t="s">
        <v>39</v>
      </c>
      <c r="B201" s="312"/>
      <c r="C201" s="248" t="s">
        <v>10</v>
      </c>
      <c r="D201" s="248" t="s">
        <v>469</v>
      </c>
      <c r="E201" s="248"/>
      <c r="F201" s="248"/>
      <c r="G201" s="181">
        <f t="shared" si="18"/>
        <v>13775.2</v>
      </c>
      <c r="H201" s="181">
        <f t="shared" si="18"/>
        <v>15993.5</v>
      </c>
      <c r="I201" s="181">
        <f t="shared" si="18"/>
        <v>14793.5</v>
      </c>
    </row>
    <row r="202" spans="1:9" s="163" customFormat="1" ht="41.25" customHeight="1">
      <c r="A202" s="249" t="s">
        <v>40</v>
      </c>
      <c r="B202" s="312"/>
      <c r="C202" s="248" t="s">
        <v>10</v>
      </c>
      <c r="D202" s="248" t="s">
        <v>154</v>
      </c>
      <c r="E202" s="248"/>
      <c r="F202" s="248"/>
      <c r="G202" s="181">
        <f>G203+G207</f>
        <v>13775.2</v>
      </c>
      <c r="H202" s="181">
        <f>H203+H207</f>
        <v>15993.5</v>
      </c>
      <c r="I202" s="181">
        <f>I203+I207</f>
        <v>14793.5</v>
      </c>
    </row>
    <row r="203" spans="1:9" s="129" customFormat="1" ht="124.5" customHeight="1">
      <c r="A203" s="180" t="s">
        <v>932</v>
      </c>
      <c r="B203" s="311"/>
      <c r="C203" s="245" t="s">
        <v>10</v>
      </c>
      <c r="D203" s="245" t="s">
        <v>154</v>
      </c>
      <c r="E203" s="243" t="s">
        <v>528</v>
      </c>
      <c r="F203" s="248"/>
      <c r="G203" s="230">
        <f>SUM(G204:G206)</f>
        <v>13775.2</v>
      </c>
      <c r="H203" s="230">
        <f>SUM(H204:H206)</f>
        <v>14793.5</v>
      </c>
      <c r="I203" s="230">
        <f>SUM(I204:I206)</f>
        <v>14793.5</v>
      </c>
    </row>
    <row r="204" spans="1:9" s="129" customFormat="1" ht="100.5" customHeight="1">
      <c r="A204" s="180" t="s">
        <v>482</v>
      </c>
      <c r="B204" s="311"/>
      <c r="C204" s="245" t="s">
        <v>10</v>
      </c>
      <c r="D204" s="245" t="s">
        <v>154</v>
      </c>
      <c r="E204" s="243" t="s">
        <v>528</v>
      </c>
      <c r="F204" s="245" t="s">
        <v>483</v>
      </c>
      <c r="G204" s="230">
        <v>11787.6</v>
      </c>
      <c r="H204" s="230">
        <v>12636.1</v>
      </c>
      <c r="I204" s="230">
        <f>H204</f>
        <v>12636.1</v>
      </c>
    </row>
    <row r="205" spans="1:9" s="129" customFormat="1" ht="39" customHeight="1">
      <c r="A205" s="180" t="s">
        <v>630</v>
      </c>
      <c r="B205" s="311"/>
      <c r="C205" s="245" t="s">
        <v>10</v>
      </c>
      <c r="D205" s="245" t="s">
        <v>154</v>
      </c>
      <c r="E205" s="243" t="s">
        <v>528</v>
      </c>
      <c r="F205" s="245" t="s">
        <v>477</v>
      </c>
      <c r="G205" s="230">
        <v>1955.6</v>
      </c>
      <c r="H205" s="230">
        <v>2109.4</v>
      </c>
      <c r="I205" s="230">
        <f>H205</f>
        <v>2109.4</v>
      </c>
    </row>
    <row r="206" spans="1:9" s="129" customFormat="1" ht="25.5" customHeight="1">
      <c r="A206" s="180" t="s">
        <v>470</v>
      </c>
      <c r="B206" s="311"/>
      <c r="C206" s="245" t="s">
        <v>10</v>
      </c>
      <c r="D206" s="245" t="s">
        <v>154</v>
      </c>
      <c r="E206" s="243" t="s">
        <v>528</v>
      </c>
      <c r="F206" s="245" t="s">
        <v>471</v>
      </c>
      <c r="G206" s="230">
        <v>32</v>
      </c>
      <c r="H206" s="230">
        <v>48</v>
      </c>
      <c r="I206" s="230">
        <f>H206</f>
        <v>48</v>
      </c>
    </row>
    <row r="207" spans="1:9" s="129" customFormat="1" ht="57" customHeight="1">
      <c r="A207" s="180" t="s">
        <v>921</v>
      </c>
      <c r="B207" s="312"/>
      <c r="C207" s="245" t="s">
        <v>10</v>
      </c>
      <c r="D207" s="245" t="s">
        <v>154</v>
      </c>
      <c r="E207" s="245" t="s">
        <v>587</v>
      </c>
      <c r="F207" s="248"/>
      <c r="G207" s="230">
        <f t="shared" ref="G207:I208" si="19">G208</f>
        <v>0</v>
      </c>
      <c r="H207" s="230">
        <f t="shared" si="19"/>
        <v>1200</v>
      </c>
      <c r="I207" s="230">
        <f t="shared" si="19"/>
        <v>0</v>
      </c>
    </row>
    <row r="208" spans="1:9" s="129" customFormat="1" ht="118.5" customHeight="1">
      <c r="A208" s="180" t="s">
        <v>922</v>
      </c>
      <c r="B208" s="312"/>
      <c r="C208" s="245" t="s">
        <v>10</v>
      </c>
      <c r="D208" s="245" t="s">
        <v>154</v>
      </c>
      <c r="E208" s="245" t="s">
        <v>509</v>
      </c>
      <c r="F208" s="248"/>
      <c r="G208" s="230">
        <f t="shared" si="19"/>
        <v>0</v>
      </c>
      <c r="H208" s="230">
        <f t="shared" si="19"/>
        <v>1200</v>
      </c>
      <c r="I208" s="230">
        <f t="shared" si="19"/>
        <v>0</v>
      </c>
    </row>
    <row r="209" spans="1:9" s="129" customFormat="1" ht="42" customHeight="1">
      <c r="A209" s="180" t="s">
        <v>630</v>
      </c>
      <c r="B209" s="311"/>
      <c r="C209" s="245" t="s">
        <v>10</v>
      </c>
      <c r="D209" s="245" t="s">
        <v>154</v>
      </c>
      <c r="E209" s="245" t="s">
        <v>509</v>
      </c>
      <c r="F209" s="245" t="s">
        <v>477</v>
      </c>
      <c r="G209" s="230">
        <v>0</v>
      </c>
      <c r="H209" s="230">
        <v>1200</v>
      </c>
      <c r="I209" s="230">
        <v>0</v>
      </c>
    </row>
    <row r="210" spans="1:9" s="129" customFormat="1" ht="58.5" customHeight="1">
      <c r="A210" s="249" t="s">
        <v>474</v>
      </c>
      <c r="B210" s="312">
        <v>857</v>
      </c>
      <c r="C210" s="248"/>
      <c r="D210" s="248"/>
      <c r="E210" s="248"/>
      <c r="F210" s="248"/>
      <c r="G210" s="181">
        <f>G211+G221+G248</f>
        <v>258012.89999999994</v>
      </c>
      <c r="H210" s="181">
        <f>H211+H221+H248</f>
        <v>225075.10000000003</v>
      </c>
      <c r="I210" s="181">
        <f>I211+I221+I248</f>
        <v>228428.00000000003</v>
      </c>
    </row>
    <row r="211" spans="1:9" s="129" customFormat="1" ht="21.75" customHeight="1">
      <c r="A211" s="249" t="s">
        <v>63</v>
      </c>
      <c r="B211" s="312"/>
      <c r="C211" s="248" t="s">
        <v>64</v>
      </c>
      <c r="D211" s="248" t="s">
        <v>469</v>
      </c>
      <c r="E211" s="248"/>
      <c r="F211" s="248"/>
      <c r="G211" s="181">
        <f>G212</f>
        <v>104789.7</v>
      </c>
      <c r="H211" s="181">
        <f>H212</f>
        <v>106315.1</v>
      </c>
      <c r="I211" s="181">
        <f>I212</f>
        <v>106315.1</v>
      </c>
    </row>
    <row r="212" spans="1:9" s="129" customFormat="1" ht="34.5" customHeight="1">
      <c r="A212" s="253" t="s">
        <v>594</v>
      </c>
      <c r="B212" s="312"/>
      <c r="C212" s="248" t="s">
        <v>116</v>
      </c>
      <c r="D212" s="248" t="s">
        <v>12</v>
      </c>
      <c r="E212" s="248"/>
      <c r="F212" s="248"/>
      <c r="G212" s="181">
        <f>G213+G217+G219</f>
        <v>104789.7</v>
      </c>
      <c r="H212" s="181">
        <f>H213+H217+H219</f>
        <v>106315.1</v>
      </c>
      <c r="I212" s="181">
        <f>I213+I217+I219</f>
        <v>106315.1</v>
      </c>
    </row>
    <row r="213" spans="1:9" s="129" customFormat="1" ht="121.5" customHeight="1">
      <c r="A213" s="180" t="s">
        <v>933</v>
      </c>
      <c r="B213" s="311"/>
      <c r="C213" s="245" t="s">
        <v>64</v>
      </c>
      <c r="D213" s="245" t="s">
        <v>12</v>
      </c>
      <c r="E213" s="245" t="s">
        <v>529</v>
      </c>
      <c r="F213" s="245"/>
      <c r="G213" s="230">
        <f>SUM(G214:G216)</f>
        <v>104506.3</v>
      </c>
      <c r="H213" s="230">
        <f>SUM(H214:H216)</f>
        <v>106315.1</v>
      </c>
      <c r="I213" s="230">
        <f>SUM(I214:I216)</f>
        <v>106315.1</v>
      </c>
    </row>
    <row r="214" spans="1:9" s="129" customFormat="1" ht="102" customHeight="1">
      <c r="A214" s="180" t="s">
        <v>482</v>
      </c>
      <c r="B214" s="311"/>
      <c r="C214" s="245" t="s">
        <v>64</v>
      </c>
      <c r="D214" s="245" t="s">
        <v>12</v>
      </c>
      <c r="E214" s="245" t="s">
        <v>529</v>
      </c>
      <c r="F214" s="245" t="s">
        <v>483</v>
      </c>
      <c r="G214" s="230">
        <v>98812.1</v>
      </c>
      <c r="H214" s="230">
        <v>102140.8</v>
      </c>
      <c r="I214" s="230">
        <f>H214</f>
        <v>102140.8</v>
      </c>
    </row>
    <row r="215" spans="1:9" s="129" customFormat="1" ht="42.75" customHeight="1">
      <c r="A215" s="180" t="s">
        <v>630</v>
      </c>
      <c r="B215" s="311"/>
      <c r="C215" s="245" t="s">
        <v>64</v>
      </c>
      <c r="D215" s="245" t="s">
        <v>12</v>
      </c>
      <c r="E215" s="245" t="s">
        <v>529</v>
      </c>
      <c r="F215" s="245" t="s">
        <v>477</v>
      </c>
      <c r="G215" s="230">
        <v>5348</v>
      </c>
      <c r="H215" s="230">
        <f>4018.2-224</f>
        <v>3794.2</v>
      </c>
      <c r="I215" s="230">
        <f>H215</f>
        <v>3794.2</v>
      </c>
    </row>
    <row r="216" spans="1:9" s="129" customFormat="1" ht="15.75">
      <c r="A216" s="180" t="s">
        <v>470</v>
      </c>
      <c r="B216" s="311"/>
      <c r="C216" s="245" t="s">
        <v>64</v>
      </c>
      <c r="D216" s="245" t="s">
        <v>12</v>
      </c>
      <c r="E216" s="245" t="s">
        <v>529</v>
      </c>
      <c r="F216" s="245" t="s">
        <v>471</v>
      </c>
      <c r="G216" s="230">
        <v>346.2</v>
      </c>
      <c r="H216" s="230">
        <v>380.1</v>
      </c>
      <c r="I216" s="230">
        <f>H216</f>
        <v>380.1</v>
      </c>
    </row>
    <row r="217" spans="1:9" s="129" customFormat="1" ht="72.75" customHeight="1">
      <c r="A217" s="180" t="s">
        <v>605</v>
      </c>
      <c r="B217" s="311"/>
      <c r="C217" s="245" t="s">
        <v>64</v>
      </c>
      <c r="D217" s="245" t="s">
        <v>12</v>
      </c>
      <c r="E217" s="245" t="s">
        <v>517</v>
      </c>
      <c r="F217" s="245"/>
      <c r="G217" s="230">
        <f>G218</f>
        <v>200</v>
      </c>
      <c r="H217" s="230">
        <f>H218</f>
        <v>0</v>
      </c>
      <c r="I217" s="230">
        <f>I218</f>
        <v>0</v>
      </c>
    </row>
    <row r="218" spans="1:9" s="129" customFormat="1" ht="31.5">
      <c r="A218" s="180" t="s">
        <v>630</v>
      </c>
      <c r="B218" s="311"/>
      <c r="C218" s="245" t="s">
        <v>64</v>
      </c>
      <c r="D218" s="245" t="s">
        <v>12</v>
      </c>
      <c r="E218" s="245" t="s">
        <v>517</v>
      </c>
      <c r="F218" s="245" t="s">
        <v>477</v>
      </c>
      <c r="G218" s="230">
        <v>200</v>
      </c>
      <c r="H218" s="230">
        <v>0</v>
      </c>
      <c r="I218" s="230">
        <v>0</v>
      </c>
    </row>
    <row r="219" spans="1:9" s="129" customFormat="1" ht="108.75" customHeight="1">
      <c r="A219" s="180" t="s">
        <v>914</v>
      </c>
      <c r="B219" s="311"/>
      <c r="C219" s="245" t="s">
        <v>64</v>
      </c>
      <c r="D219" s="245" t="s">
        <v>12</v>
      </c>
      <c r="E219" s="245" t="s">
        <v>520</v>
      </c>
      <c r="F219" s="245"/>
      <c r="G219" s="230">
        <f>G220</f>
        <v>83.4</v>
      </c>
      <c r="H219" s="230">
        <f>H220</f>
        <v>0</v>
      </c>
      <c r="I219" s="230">
        <f>I220</f>
        <v>0</v>
      </c>
    </row>
    <row r="220" spans="1:9" s="129" customFormat="1" ht="37.5" customHeight="1">
      <c r="A220" s="180" t="s">
        <v>630</v>
      </c>
      <c r="B220" s="311"/>
      <c r="C220" s="245" t="s">
        <v>64</v>
      </c>
      <c r="D220" s="245" t="s">
        <v>12</v>
      </c>
      <c r="E220" s="245" t="s">
        <v>520</v>
      </c>
      <c r="F220" s="245" t="s">
        <v>477</v>
      </c>
      <c r="G220" s="230">
        <v>83.4</v>
      </c>
      <c r="H220" s="230">
        <v>0</v>
      </c>
      <c r="I220" s="230">
        <v>0</v>
      </c>
    </row>
    <row r="221" spans="1:9" s="163" customFormat="1" ht="26.25" customHeight="1">
      <c r="A221" s="249" t="s">
        <v>143</v>
      </c>
      <c r="B221" s="312"/>
      <c r="C221" s="248" t="s">
        <v>81</v>
      </c>
      <c r="D221" s="248" t="s">
        <v>469</v>
      </c>
      <c r="E221" s="181"/>
      <c r="F221" s="248"/>
      <c r="G221" s="181">
        <f>G222+G243</f>
        <v>146444.09999999995</v>
      </c>
      <c r="H221" s="181">
        <f>H222+H243</f>
        <v>111811.8</v>
      </c>
      <c r="I221" s="181">
        <f>I222+I243</f>
        <v>115156.8</v>
      </c>
    </row>
    <row r="222" spans="1:9" s="163" customFormat="1" ht="26.25" customHeight="1">
      <c r="A222" s="249" t="s">
        <v>82</v>
      </c>
      <c r="B222" s="312"/>
      <c r="C222" s="248" t="s">
        <v>81</v>
      </c>
      <c r="D222" s="248" t="s">
        <v>10</v>
      </c>
      <c r="E222" s="181"/>
      <c r="F222" s="248"/>
      <c r="G222" s="181">
        <f>G225+G230+G233+G239+G223+G237+G241</f>
        <v>140085.29999999996</v>
      </c>
      <c r="H222" s="181">
        <f>H225+H230+H233+H239+H223+H237</f>
        <v>106009.8</v>
      </c>
      <c r="I222" s="181">
        <f>I225+I230+I233+I239+I223+I237</f>
        <v>109354.8</v>
      </c>
    </row>
    <row r="223" spans="1:9" s="129" customFormat="1" ht="72.75" customHeight="1">
      <c r="A223" s="180" t="s">
        <v>664</v>
      </c>
      <c r="B223" s="311"/>
      <c r="C223" s="245" t="s">
        <v>81</v>
      </c>
      <c r="D223" s="245" t="s">
        <v>10</v>
      </c>
      <c r="E223" s="251" t="s">
        <v>645</v>
      </c>
      <c r="F223" s="245"/>
      <c r="G223" s="230">
        <f>G224</f>
        <v>140.9</v>
      </c>
      <c r="H223" s="230">
        <f>H224</f>
        <v>140.9</v>
      </c>
      <c r="I223" s="230">
        <f>I224</f>
        <v>0</v>
      </c>
    </row>
    <row r="224" spans="1:9" s="129" customFormat="1" ht="39.75" customHeight="1">
      <c r="A224" s="180" t="s">
        <v>630</v>
      </c>
      <c r="B224" s="311"/>
      <c r="C224" s="245" t="s">
        <v>81</v>
      </c>
      <c r="D224" s="245" t="s">
        <v>10</v>
      </c>
      <c r="E224" s="251" t="s">
        <v>645</v>
      </c>
      <c r="F224" s="245" t="s">
        <v>477</v>
      </c>
      <c r="G224" s="230">
        <v>140.9</v>
      </c>
      <c r="H224" s="230">
        <v>140.9</v>
      </c>
      <c r="I224" s="230">
        <v>0</v>
      </c>
    </row>
    <row r="225" spans="1:9" s="129" customFormat="1" ht="110.25" customHeight="1">
      <c r="A225" s="180" t="s">
        <v>934</v>
      </c>
      <c r="B225" s="311"/>
      <c r="C225" s="245" t="s">
        <v>81</v>
      </c>
      <c r="D225" s="245" t="s">
        <v>10</v>
      </c>
      <c r="E225" s="245" t="s">
        <v>530</v>
      </c>
      <c r="F225" s="245"/>
      <c r="G225" s="230">
        <f>SUM(G226:G229)</f>
        <v>83258.3</v>
      </c>
      <c r="H225" s="230">
        <f>SUM(H226:H229)</f>
        <v>46322.1</v>
      </c>
      <c r="I225" s="230">
        <f>SUM(I226:I229)</f>
        <v>9047.6999999999989</v>
      </c>
    </row>
    <row r="226" spans="1:9" s="129" customFormat="1" ht="99" customHeight="1">
      <c r="A226" s="180" t="s">
        <v>482</v>
      </c>
      <c r="B226" s="311"/>
      <c r="C226" s="245" t="s">
        <v>81</v>
      </c>
      <c r="D226" s="245" t="s">
        <v>10</v>
      </c>
      <c r="E226" s="245" t="s">
        <v>530</v>
      </c>
      <c r="F226" s="245" t="s">
        <v>483</v>
      </c>
      <c r="G226" s="230">
        <v>9227.7999999999993</v>
      </c>
      <c r="H226" s="230">
        <f>4546.9</f>
        <v>4546.8999999999996</v>
      </c>
      <c r="I226" s="230">
        <f>H226</f>
        <v>4546.8999999999996</v>
      </c>
    </row>
    <row r="227" spans="1:9" s="129" customFormat="1" ht="42" customHeight="1">
      <c r="A227" s="180" t="s">
        <v>630</v>
      </c>
      <c r="B227" s="311"/>
      <c r="C227" s="245" t="s">
        <v>81</v>
      </c>
      <c r="D227" s="245" t="s">
        <v>10</v>
      </c>
      <c r="E227" s="245" t="s">
        <v>530</v>
      </c>
      <c r="F227" s="245" t="s">
        <v>477</v>
      </c>
      <c r="G227" s="230">
        <v>8752.9</v>
      </c>
      <c r="H227" s="230">
        <f>2227.3+2000</f>
        <v>4227.3</v>
      </c>
      <c r="I227" s="230">
        <v>2227.3000000000002</v>
      </c>
    </row>
    <row r="228" spans="1:9" s="129" customFormat="1" ht="61.5" customHeight="1">
      <c r="A228" s="180" t="s">
        <v>485</v>
      </c>
      <c r="B228" s="311"/>
      <c r="C228" s="245" t="s">
        <v>81</v>
      </c>
      <c r="D228" s="245" t="s">
        <v>10</v>
      </c>
      <c r="E228" s="245" t="s">
        <v>530</v>
      </c>
      <c r="F228" s="245" t="s">
        <v>484</v>
      </c>
      <c r="G228" s="230">
        <v>64512.4</v>
      </c>
      <c r="H228" s="230">
        <f>80000-42750</f>
        <v>37250</v>
      </c>
      <c r="I228" s="230">
        <f>82500-48336.4-32188</f>
        <v>1975.5999999999985</v>
      </c>
    </row>
    <row r="229" spans="1:9" s="129" customFormat="1" ht="20.25" customHeight="1">
      <c r="A229" s="180" t="s">
        <v>470</v>
      </c>
      <c r="B229" s="311"/>
      <c r="C229" s="245" t="s">
        <v>81</v>
      </c>
      <c r="D229" s="245" t="s">
        <v>10</v>
      </c>
      <c r="E229" s="245" t="s">
        <v>530</v>
      </c>
      <c r="F229" s="245" t="s">
        <v>471</v>
      </c>
      <c r="G229" s="230">
        <v>765.2</v>
      </c>
      <c r="H229" s="230">
        <v>297.89999999999998</v>
      </c>
      <c r="I229" s="230">
        <f>H229</f>
        <v>297.89999999999998</v>
      </c>
    </row>
    <row r="230" spans="1:9" s="129" customFormat="1" ht="90" customHeight="1">
      <c r="A230" s="180" t="s">
        <v>912</v>
      </c>
      <c r="B230" s="311"/>
      <c r="C230" s="245" t="s">
        <v>81</v>
      </c>
      <c r="D230" s="245" t="s">
        <v>10</v>
      </c>
      <c r="E230" s="245" t="s">
        <v>531</v>
      </c>
      <c r="F230" s="245"/>
      <c r="G230" s="230">
        <f>G231+G232</f>
        <v>20531.399999999998</v>
      </c>
      <c r="H230" s="230">
        <f>H231+H232</f>
        <v>21445.7</v>
      </c>
      <c r="I230" s="230">
        <f>I231+I232</f>
        <v>21445.7</v>
      </c>
    </row>
    <row r="231" spans="1:9" s="129" customFormat="1" ht="102" customHeight="1">
      <c r="A231" s="180" t="s">
        <v>482</v>
      </c>
      <c r="B231" s="311"/>
      <c r="C231" s="245" t="s">
        <v>81</v>
      </c>
      <c r="D231" s="245" t="s">
        <v>10</v>
      </c>
      <c r="E231" s="245" t="s">
        <v>531</v>
      </c>
      <c r="F231" s="245" t="s">
        <v>483</v>
      </c>
      <c r="G231" s="230">
        <v>17423.099999999999</v>
      </c>
      <c r="H231" s="230">
        <v>18896.5</v>
      </c>
      <c r="I231" s="230">
        <f>H231</f>
        <v>18896.5</v>
      </c>
    </row>
    <row r="232" spans="1:9" s="129" customFormat="1" ht="39" customHeight="1">
      <c r="A232" s="180" t="s">
        <v>630</v>
      </c>
      <c r="B232" s="311"/>
      <c r="C232" s="245" t="s">
        <v>81</v>
      </c>
      <c r="D232" s="245" t="s">
        <v>10</v>
      </c>
      <c r="E232" s="245" t="s">
        <v>531</v>
      </c>
      <c r="F232" s="245" t="s">
        <v>477</v>
      </c>
      <c r="G232" s="230">
        <v>3108.3</v>
      </c>
      <c r="H232" s="230">
        <v>2549.1999999999998</v>
      </c>
      <c r="I232" s="230">
        <f>H232</f>
        <v>2549.1999999999998</v>
      </c>
    </row>
    <row r="233" spans="1:9" s="129" customFormat="1" ht="106.5" customHeight="1">
      <c r="A233" s="180" t="s">
        <v>913</v>
      </c>
      <c r="B233" s="311"/>
      <c r="C233" s="245" t="s">
        <v>81</v>
      </c>
      <c r="D233" s="245" t="s">
        <v>10</v>
      </c>
      <c r="E233" s="245" t="s">
        <v>532</v>
      </c>
      <c r="F233" s="245"/>
      <c r="G233" s="230">
        <f>SUM(G234:G236)</f>
        <v>29082.1</v>
      </c>
      <c r="H233" s="230">
        <f>SUM(H234:H236)</f>
        <v>31862</v>
      </c>
      <c r="I233" s="230">
        <f>SUM(I234:I236)</f>
        <v>31871.899999999998</v>
      </c>
    </row>
    <row r="234" spans="1:9" s="129" customFormat="1" ht="102" customHeight="1">
      <c r="A234" s="180" t="s">
        <v>482</v>
      </c>
      <c r="B234" s="311"/>
      <c r="C234" s="245" t="s">
        <v>81</v>
      </c>
      <c r="D234" s="245" t="s">
        <v>10</v>
      </c>
      <c r="E234" s="245" t="s">
        <v>532</v>
      </c>
      <c r="F234" s="245" t="s">
        <v>483</v>
      </c>
      <c r="G234" s="230">
        <v>23134</v>
      </c>
      <c r="H234" s="230">
        <v>27064.6</v>
      </c>
      <c r="I234" s="230">
        <f>H234</f>
        <v>27064.6</v>
      </c>
    </row>
    <row r="235" spans="1:9" s="129" customFormat="1" ht="41.25" customHeight="1">
      <c r="A235" s="180" t="s">
        <v>630</v>
      </c>
      <c r="B235" s="311"/>
      <c r="C235" s="245" t="s">
        <v>81</v>
      </c>
      <c r="D235" s="245" t="s">
        <v>10</v>
      </c>
      <c r="E235" s="245" t="s">
        <v>532</v>
      </c>
      <c r="F235" s="245" t="s">
        <v>477</v>
      </c>
      <c r="G235" s="230">
        <v>4103.1000000000004</v>
      </c>
      <c r="H235" s="230">
        <f>2423.7+248.2</f>
        <v>2671.8999999999996</v>
      </c>
      <c r="I235" s="230">
        <f>2423.7+258.1</f>
        <v>2681.7999999999997</v>
      </c>
    </row>
    <row r="236" spans="1:9" s="129" customFormat="1" ht="29.25" customHeight="1">
      <c r="A236" s="180" t="s">
        <v>470</v>
      </c>
      <c r="B236" s="311"/>
      <c r="C236" s="245" t="s">
        <v>81</v>
      </c>
      <c r="D236" s="245" t="s">
        <v>10</v>
      </c>
      <c r="E236" s="245" t="s">
        <v>532</v>
      </c>
      <c r="F236" s="245" t="s">
        <v>471</v>
      </c>
      <c r="G236" s="230">
        <v>1845</v>
      </c>
      <c r="H236" s="230">
        <v>2125.5</v>
      </c>
      <c r="I236" s="230">
        <f>H236</f>
        <v>2125.5</v>
      </c>
    </row>
    <row r="237" spans="1:9" s="129" customFormat="1" ht="76.5" customHeight="1">
      <c r="A237" s="180" t="s">
        <v>903</v>
      </c>
      <c r="B237" s="311"/>
      <c r="C237" s="245" t="s">
        <v>81</v>
      </c>
      <c r="D237" s="245" t="s">
        <v>10</v>
      </c>
      <c r="E237" s="245" t="s">
        <v>902</v>
      </c>
      <c r="F237" s="245"/>
      <c r="G237" s="230">
        <f>G238</f>
        <v>0</v>
      </c>
      <c r="H237" s="230">
        <f>H238</f>
        <v>239.10000000000002</v>
      </c>
      <c r="I237" s="230">
        <f>I238</f>
        <v>40989.5</v>
      </c>
    </row>
    <row r="238" spans="1:9" s="129" customFormat="1" ht="59.25" customHeight="1">
      <c r="A238" s="180" t="s">
        <v>1043</v>
      </c>
      <c r="B238" s="311"/>
      <c r="C238" s="245" t="s">
        <v>81</v>
      </c>
      <c r="D238" s="245" t="s">
        <v>10</v>
      </c>
      <c r="E238" s="245" t="s">
        <v>902</v>
      </c>
      <c r="F238" s="245" t="s">
        <v>481</v>
      </c>
      <c r="G238" s="230">
        <v>0</v>
      </c>
      <c r="H238" s="230">
        <f>234.3+4.8</f>
        <v>239.10000000000002</v>
      </c>
      <c r="I238" s="230">
        <f>40169.7+819.8</f>
        <v>40989.5</v>
      </c>
    </row>
    <row r="239" spans="1:9" s="129" customFormat="1" ht="100.5" customHeight="1">
      <c r="A239" s="180" t="s">
        <v>914</v>
      </c>
      <c r="B239" s="311"/>
      <c r="C239" s="245" t="s">
        <v>81</v>
      </c>
      <c r="D239" s="245" t="s">
        <v>10</v>
      </c>
      <c r="E239" s="245" t="s">
        <v>520</v>
      </c>
      <c r="F239" s="245"/>
      <c r="G239" s="230">
        <f>SUM(G240:G240)</f>
        <v>7050.8</v>
      </c>
      <c r="H239" s="230">
        <f>SUM(H240:H240)</f>
        <v>6000</v>
      </c>
      <c r="I239" s="230">
        <f>SUM(I240:I240)</f>
        <v>6000</v>
      </c>
    </row>
    <row r="240" spans="1:9" s="129" customFormat="1" ht="39" customHeight="1">
      <c r="A240" s="180" t="s">
        <v>630</v>
      </c>
      <c r="B240" s="311"/>
      <c r="C240" s="245" t="s">
        <v>81</v>
      </c>
      <c r="D240" s="245" t="s">
        <v>10</v>
      </c>
      <c r="E240" s="245" t="s">
        <v>520</v>
      </c>
      <c r="F240" s="245" t="s">
        <v>477</v>
      </c>
      <c r="G240" s="230">
        <f>7030.8+20</f>
        <v>7050.8</v>
      </c>
      <c r="H240" s="230">
        <v>6000</v>
      </c>
      <c r="I240" s="230">
        <f>H240</f>
        <v>6000</v>
      </c>
    </row>
    <row r="241" spans="1:9" s="129" customFormat="1" ht="26.25" customHeight="1">
      <c r="A241" s="180" t="s">
        <v>1114</v>
      </c>
      <c r="B241" s="311"/>
      <c r="C241" s="245" t="s">
        <v>81</v>
      </c>
      <c r="D241" s="245" t="s">
        <v>10</v>
      </c>
      <c r="E241" s="245" t="s">
        <v>1041</v>
      </c>
      <c r="F241" s="245"/>
      <c r="G241" s="230">
        <f>G242</f>
        <v>21.8</v>
      </c>
      <c r="H241" s="230">
        <f>H242</f>
        <v>0</v>
      </c>
      <c r="I241" s="230">
        <f>I242</f>
        <v>0</v>
      </c>
    </row>
    <row r="242" spans="1:9" s="129" customFormat="1" ht="45" customHeight="1">
      <c r="A242" s="180" t="s">
        <v>630</v>
      </c>
      <c r="B242" s="311"/>
      <c r="C242" s="245" t="s">
        <v>81</v>
      </c>
      <c r="D242" s="245" t="s">
        <v>10</v>
      </c>
      <c r="E242" s="245" t="s">
        <v>1041</v>
      </c>
      <c r="F242" s="245" t="s">
        <v>477</v>
      </c>
      <c r="G242" s="230">
        <v>21.8</v>
      </c>
      <c r="H242" s="230">
        <v>0</v>
      </c>
      <c r="I242" s="230">
        <v>0</v>
      </c>
    </row>
    <row r="243" spans="1:9" s="129" customFormat="1" ht="39.75" customHeight="1">
      <c r="A243" s="249" t="s">
        <v>140</v>
      </c>
      <c r="B243" s="312"/>
      <c r="C243" s="248" t="s">
        <v>81</v>
      </c>
      <c r="D243" s="248" t="s">
        <v>19</v>
      </c>
      <c r="E243" s="248"/>
      <c r="F243" s="248"/>
      <c r="G243" s="181">
        <f>G244</f>
        <v>6358.8</v>
      </c>
      <c r="H243" s="181">
        <f>H244</f>
        <v>5802</v>
      </c>
      <c r="I243" s="181">
        <f>I244</f>
        <v>5802</v>
      </c>
    </row>
    <row r="244" spans="1:9" s="129" customFormat="1" ht="121.5" customHeight="1">
      <c r="A244" s="180" t="s">
        <v>935</v>
      </c>
      <c r="B244" s="312"/>
      <c r="C244" s="245" t="s">
        <v>81</v>
      </c>
      <c r="D244" s="245" t="s">
        <v>19</v>
      </c>
      <c r="E244" s="245" t="s">
        <v>533</v>
      </c>
      <c r="F244" s="245"/>
      <c r="G244" s="230">
        <f>SUM(G245:G247)</f>
        <v>6358.8</v>
      </c>
      <c r="H244" s="230">
        <f>SUM(H245:H246)</f>
        <v>5802</v>
      </c>
      <c r="I244" s="230">
        <f>SUM(I245:I246)</f>
        <v>5802</v>
      </c>
    </row>
    <row r="245" spans="1:9" s="129" customFormat="1" ht="102.75" customHeight="1">
      <c r="A245" s="180" t="s">
        <v>482</v>
      </c>
      <c r="B245" s="311"/>
      <c r="C245" s="245" t="s">
        <v>81</v>
      </c>
      <c r="D245" s="245" t="s">
        <v>19</v>
      </c>
      <c r="E245" s="245" t="s">
        <v>533</v>
      </c>
      <c r="F245" s="245" t="s">
        <v>483</v>
      </c>
      <c r="G245" s="230">
        <v>5860.1</v>
      </c>
      <c r="H245" s="230">
        <v>5098.7</v>
      </c>
      <c r="I245" s="230">
        <f>H245</f>
        <v>5098.7</v>
      </c>
    </row>
    <row r="246" spans="1:9" s="129" customFormat="1" ht="37.5" customHeight="1">
      <c r="A246" s="180" t="s">
        <v>630</v>
      </c>
      <c r="B246" s="311"/>
      <c r="C246" s="245" t="s">
        <v>81</v>
      </c>
      <c r="D246" s="245" t="s">
        <v>19</v>
      </c>
      <c r="E246" s="245" t="s">
        <v>533</v>
      </c>
      <c r="F246" s="245" t="s">
        <v>477</v>
      </c>
      <c r="G246" s="230">
        <v>495.7</v>
      </c>
      <c r="H246" s="230">
        <v>703.3</v>
      </c>
      <c r="I246" s="230">
        <f>H246</f>
        <v>703.3</v>
      </c>
    </row>
    <row r="247" spans="1:9" s="129" customFormat="1" ht="23.25" customHeight="1">
      <c r="A247" s="180" t="s">
        <v>470</v>
      </c>
      <c r="B247" s="311"/>
      <c r="C247" s="245" t="s">
        <v>81</v>
      </c>
      <c r="D247" s="245" t="s">
        <v>19</v>
      </c>
      <c r="E247" s="245" t="s">
        <v>533</v>
      </c>
      <c r="F247" s="245" t="s">
        <v>471</v>
      </c>
      <c r="G247" s="230">
        <v>3</v>
      </c>
      <c r="H247" s="230">
        <v>0</v>
      </c>
      <c r="I247" s="230">
        <v>0</v>
      </c>
    </row>
    <row r="248" spans="1:9" s="129" customFormat="1" ht="15.75">
      <c r="A248" s="249" t="s">
        <v>135</v>
      </c>
      <c r="B248" s="312"/>
      <c r="C248" s="248" t="s">
        <v>24</v>
      </c>
      <c r="D248" s="248" t="s">
        <v>469</v>
      </c>
      <c r="E248" s="248"/>
      <c r="F248" s="248"/>
      <c r="G248" s="181">
        <f t="shared" ref="G248:I249" si="20">G249</f>
        <v>6779.0999999999995</v>
      </c>
      <c r="H248" s="181">
        <f t="shared" si="20"/>
        <v>6948.2</v>
      </c>
      <c r="I248" s="181">
        <f t="shared" si="20"/>
        <v>6956.1</v>
      </c>
    </row>
    <row r="249" spans="1:9" s="129" customFormat="1" ht="24" customHeight="1">
      <c r="A249" s="249" t="s">
        <v>136</v>
      </c>
      <c r="B249" s="312"/>
      <c r="C249" s="248" t="s">
        <v>24</v>
      </c>
      <c r="D249" s="248" t="s">
        <v>50</v>
      </c>
      <c r="E249" s="248"/>
      <c r="F249" s="248"/>
      <c r="G249" s="181">
        <f t="shared" si="20"/>
        <v>6779.0999999999995</v>
      </c>
      <c r="H249" s="181">
        <f t="shared" si="20"/>
        <v>6948.2</v>
      </c>
      <c r="I249" s="181">
        <f t="shared" si="20"/>
        <v>6956.1</v>
      </c>
    </row>
    <row r="250" spans="1:9" s="129" customFormat="1" ht="117.75" customHeight="1">
      <c r="A250" s="180" t="s">
        <v>936</v>
      </c>
      <c r="B250" s="311"/>
      <c r="C250" s="245" t="s">
        <v>24</v>
      </c>
      <c r="D250" s="245" t="s">
        <v>50</v>
      </c>
      <c r="E250" s="245" t="s">
        <v>534</v>
      </c>
      <c r="F250" s="245"/>
      <c r="G250" s="230">
        <f>G251+G252+G253</f>
        <v>6779.0999999999995</v>
      </c>
      <c r="H250" s="230">
        <f>H251+H252+H253</f>
        <v>6948.2</v>
      </c>
      <c r="I250" s="230">
        <f>I251+I252+I253</f>
        <v>6956.1</v>
      </c>
    </row>
    <row r="251" spans="1:9" s="129" customFormat="1" ht="102.75" customHeight="1">
      <c r="A251" s="180" t="s">
        <v>482</v>
      </c>
      <c r="B251" s="311"/>
      <c r="C251" s="245" t="s">
        <v>24</v>
      </c>
      <c r="D251" s="245" t="s">
        <v>50</v>
      </c>
      <c r="E251" s="245" t="s">
        <v>534</v>
      </c>
      <c r="F251" s="245" t="s">
        <v>483</v>
      </c>
      <c r="G251" s="230">
        <v>4367.8999999999996</v>
      </c>
      <c r="H251" s="230">
        <v>4539.3</v>
      </c>
      <c r="I251" s="230">
        <f>H251</f>
        <v>4539.3</v>
      </c>
    </row>
    <row r="252" spans="1:9" s="129" customFormat="1" ht="39.75" customHeight="1">
      <c r="A252" s="180" t="s">
        <v>630</v>
      </c>
      <c r="B252" s="311"/>
      <c r="C252" s="245" t="s">
        <v>24</v>
      </c>
      <c r="D252" s="245" t="s">
        <v>50</v>
      </c>
      <c r="E252" s="245" t="s">
        <v>534</v>
      </c>
      <c r="F252" s="245" t="s">
        <v>477</v>
      </c>
      <c r="G252" s="230">
        <v>2411.1999999999998</v>
      </c>
      <c r="H252" s="230">
        <f>2211.8+196.9</f>
        <v>2408.7000000000003</v>
      </c>
      <c r="I252" s="230">
        <f>2211.8+204.8</f>
        <v>2416.6000000000004</v>
      </c>
    </row>
    <row r="253" spans="1:9" s="129" customFormat="1" ht="29.25" customHeight="1">
      <c r="A253" s="180" t="s">
        <v>470</v>
      </c>
      <c r="B253" s="311"/>
      <c r="C253" s="245" t="s">
        <v>24</v>
      </c>
      <c r="D253" s="245" t="s">
        <v>50</v>
      </c>
      <c r="E253" s="245" t="s">
        <v>534</v>
      </c>
      <c r="F253" s="245" t="s">
        <v>471</v>
      </c>
      <c r="G253" s="230">
        <v>0</v>
      </c>
      <c r="H253" s="230">
        <v>0.2</v>
      </c>
      <c r="I253" s="230">
        <f>H253</f>
        <v>0.2</v>
      </c>
    </row>
    <row r="254" spans="1:9" s="129" customFormat="1" ht="85.5" customHeight="1">
      <c r="A254" s="249" t="s">
        <v>668</v>
      </c>
      <c r="B254" s="312">
        <v>866</v>
      </c>
      <c r="C254" s="248"/>
      <c r="D254" s="248"/>
      <c r="E254" s="248"/>
      <c r="F254" s="248"/>
      <c r="G254" s="181">
        <f>G255+G272+G265</f>
        <v>49228.1</v>
      </c>
      <c r="H254" s="181">
        <f>H255+H272+H265</f>
        <v>51802.100000000006</v>
      </c>
      <c r="I254" s="181">
        <f>I255+I272+I265</f>
        <v>41802.100000000006</v>
      </c>
    </row>
    <row r="255" spans="1:9" s="163" customFormat="1" ht="23.25" customHeight="1">
      <c r="A255" s="249" t="s">
        <v>9</v>
      </c>
      <c r="B255" s="311"/>
      <c r="C255" s="248" t="s">
        <v>10</v>
      </c>
      <c r="D255" s="248" t="s">
        <v>469</v>
      </c>
      <c r="E255" s="245"/>
      <c r="F255" s="245"/>
      <c r="G255" s="181">
        <f>G256</f>
        <v>28150.6</v>
      </c>
      <c r="H255" s="181">
        <f>H256</f>
        <v>42921.8</v>
      </c>
      <c r="I255" s="181">
        <f>I256</f>
        <v>32921.800000000003</v>
      </c>
    </row>
    <row r="256" spans="1:9" s="129" customFormat="1" ht="30" customHeight="1">
      <c r="A256" s="249" t="s">
        <v>28</v>
      </c>
      <c r="B256" s="312"/>
      <c r="C256" s="248" t="s">
        <v>10</v>
      </c>
      <c r="D256" s="248" t="s">
        <v>154</v>
      </c>
      <c r="E256" s="248"/>
      <c r="F256" s="248"/>
      <c r="G256" s="181">
        <f>G261+G257+G259</f>
        <v>28150.6</v>
      </c>
      <c r="H256" s="181">
        <f>H261+H257+H259</f>
        <v>42921.8</v>
      </c>
      <c r="I256" s="181">
        <f>I261+I257+I259</f>
        <v>32921.800000000003</v>
      </c>
    </row>
    <row r="257" spans="1:9" s="129" customFormat="1" ht="136.5" customHeight="1">
      <c r="A257" s="180" t="s">
        <v>937</v>
      </c>
      <c r="B257" s="311"/>
      <c r="C257" s="245" t="s">
        <v>10</v>
      </c>
      <c r="D257" s="245" t="s">
        <v>154</v>
      </c>
      <c r="E257" s="245" t="s">
        <v>535</v>
      </c>
      <c r="F257" s="245"/>
      <c r="G257" s="230">
        <f>G258</f>
        <v>3572</v>
      </c>
      <c r="H257" s="230">
        <f>H258</f>
        <v>3000</v>
      </c>
      <c r="I257" s="230">
        <f>I258</f>
        <v>3000</v>
      </c>
    </row>
    <row r="258" spans="1:9" s="129" customFormat="1" ht="38.25" customHeight="1">
      <c r="A258" s="180" t="s">
        <v>630</v>
      </c>
      <c r="B258" s="311"/>
      <c r="C258" s="245" t="s">
        <v>10</v>
      </c>
      <c r="D258" s="245" t="s">
        <v>154</v>
      </c>
      <c r="E258" s="245" t="s">
        <v>535</v>
      </c>
      <c r="F258" s="245" t="s">
        <v>477</v>
      </c>
      <c r="G258" s="230">
        <v>3572</v>
      </c>
      <c r="H258" s="230">
        <v>3000</v>
      </c>
      <c r="I258" s="230">
        <f>H258</f>
        <v>3000</v>
      </c>
    </row>
    <row r="259" spans="1:9" s="129" customFormat="1" ht="130.5" customHeight="1">
      <c r="A259" s="180" t="s">
        <v>937</v>
      </c>
      <c r="B259" s="311"/>
      <c r="C259" s="245" t="s">
        <v>10</v>
      </c>
      <c r="D259" s="245" t="s">
        <v>154</v>
      </c>
      <c r="E259" s="245" t="s">
        <v>502</v>
      </c>
      <c r="F259" s="245"/>
      <c r="G259" s="230">
        <f>G260</f>
        <v>6260.4</v>
      </c>
      <c r="H259" s="230">
        <f>H260</f>
        <v>15000</v>
      </c>
      <c r="I259" s="230">
        <f>I260</f>
        <v>5000</v>
      </c>
    </row>
    <row r="260" spans="1:9" s="129" customFormat="1" ht="42.75" customHeight="1">
      <c r="A260" s="180" t="s">
        <v>630</v>
      </c>
      <c r="B260" s="311"/>
      <c r="C260" s="245" t="s">
        <v>10</v>
      </c>
      <c r="D260" s="245" t="s">
        <v>154</v>
      </c>
      <c r="E260" s="245" t="s">
        <v>502</v>
      </c>
      <c r="F260" s="245" t="s">
        <v>477</v>
      </c>
      <c r="G260" s="230">
        <v>6260.4</v>
      </c>
      <c r="H260" s="230">
        <v>15000</v>
      </c>
      <c r="I260" s="230">
        <v>5000</v>
      </c>
    </row>
    <row r="261" spans="1:9" s="129" customFormat="1" ht="125.25" customHeight="1">
      <c r="A261" s="180" t="s">
        <v>938</v>
      </c>
      <c r="B261" s="311"/>
      <c r="C261" s="245" t="s">
        <v>10</v>
      </c>
      <c r="D261" s="245" t="s">
        <v>154</v>
      </c>
      <c r="E261" s="245" t="s">
        <v>503</v>
      </c>
      <c r="F261" s="245"/>
      <c r="G261" s="230">
        <f>G262+G263+G264</f>
        <v>18318.2</v>
      </c>
      <c r="H261" s="230">
        <f>H262+H263+H264</f>
        <v>24921.8</v>
      </c>
      <c r="I261" s="230">
        <f>I262+I263+I264</f>
        <v>24921.8</v>
      </c>
    </row>
    <row r="262" spans="1:9" s="129" customFormat="1" ht="106.5" customHeight="1">
      <c r="A262" s="180" t="s">
        <v>482</v>
      </c>
      <c r="B262" s="311"/>
      <c r="C262" s="245" t="s">
        <v>10</v>
      </c>
      <c r="D262" s="245" t="s">
        <v>154</v>
      </c>
      <c r="E262" s="245" t="s">
        <v>503</v>
      </c>
      <c r="F262" s="245" t="s">
        <v>483</v>
      </c>
      <c r="G262" s="230">
        <v>13938.7</v>
      </c>
      <c r="H262" s="230">
        <v>13750.5</v>
      </c>
      <c r="I262" s="230">
        <f>H262</f>
        <v>13750.5</v>
      </c>
    </row>
    <row r="263" spans="1:9" s="129" customFormat="1" ht="39.75" customHeight="1">
      <c r="A263" s="180" t="s">
        <v>630</v>
      </c>
      <c r="B263" s="311"/>
      <c r="C263" s="245" t="s">
        <v>10</v>
      </c>
      <c r="D263" s="245" t="s">
        <v>154</v>
      </c>
      <c r="E263" s="245" t="s">
        <v>503</v>
      </c>
      <c r="F263" s="245" t="s">
        <v>477</v>
      </c>
      <c r="G263" s="230">
        <v>3968.4</v>
      </c>
      <c r="H263" s="230">
        <v>11095.3</v>
      </c>
      <c r="I263" s="230">
        <f>H263</f>
        <v>11095.3</v>
      </c>
    </row>
    <row r="264" spans="1:9" s="129" customFormat="1" ht="23.25" customHeight="1">
      <c r="A264" s="180" t="s">
        <v>470</v>
      </c>
      <c r="B264" s="311"/>
      <c r="C264" s="245" t="s">
        <v>10</v>
      </c>
      <c r="D264" s="245" t="s">
        <v>154</v>
      </c>
      <c r="E264" s="245" t="s">
        <v>503</v>
      </c>
      <c r="F264" s="245" t="s">
        <v>471</v>
      </c>
      <c r="G264" s="230">
        <v>411.1</v>
      </c>
      <c r="H264" s="230">
        <v>76</v>
      </c>
      <c r="I264" s="230">
        <f>H264</f>
        <v>76</v>
      </c>
    </row>
    <row r="265" spans="1:9" s="129" customFormat="1" ht="26.25" customHeight="1">
      <c r="A265" s="249" t="s">
        <v>39</v>
      </c>
      <c r="B265" s="312"/>
      <c r="C265" s="248" t="s">
        <v>19</v>
      </c>
      <c r="D265" s="248" t="s">
        <v>469</v>
      </c>
      <c r="E265" s="248"/>
      <c r="F265" s="248"/>
      <c r="G265" s="181">
        <f>G266+G269</f>
        <v>17157.5</v>
      </c>
      <c r="H265" s="181">
        <f>H266+H269</f>
        <v>8331.2000000000007</v>
      </c>
      <c r="I265" s="181">
        <f>I266+I269</f>
        <v>8331.2000000000007</v>
      </c>
    </row>
    <row r="266" spans="1:9" s="129" customFormat="1" ht="22.5" customHeight="1">
      <c r="A266" s="246" t="s">
        <v>155</v>
      </c>
      <c r="B266" s="312"/>
      <c r="C266" s="248" t="s">
        <v>19</v>
      </c>
      <c r="D266" s="248" t="s">
        <v>33</v>
      </c>
      <c r="E266" s="248"/>
      <c r="F266" s="248"/>
      <c r="G266" s="181">
        <f t="shared" ref="G266:I267" si="21">G267</f>
        <v>13703.2</v>
      </c>
      <c r="H266" s="181">
        <f t="shared" si="21"/>
        <v>8331.2000000000007</v>
      </c>
      <c r="I266" s="181">
        <f t="shared" si="21"/>
        <v>8331.2000000000007</v>
      </c>
    </row>
    <row r="267" spans="1:9" s="129" customFormat="1" ht="101.25" customHeight="1">
      <c r="A267" s="179" t="s">
        <v>891</v>
      </c>
      <c r="B267" s="311"/>
      <c r="C267" s="245" t="s">
        <v>19</v>
      </c>
      <c r="D267" s="245" t="s">
        <v>33</v>
      </c>
      <c r="E267" s="245" t="s">
        <v>508</v>
      </c>
      <c r="F267" s="245"/>
      <c r="G267" s="230">
        <f t="shared" si="21"/>
        <v>13703.2</v>
      </c>
      <c r="H267" s="230">
        <f t="shared" si="21"/>
        <v>8331.2000000000007</v>
      </c>
      <c r="I267" s="230">
        <f t="shared" si="21"/>
        <v>8331.2000000000007</v>
      </c>
    </row>
    <row r="268" spans="1:9" s="129" customFormat="1" ht="37.5" customHeight="1">
      <c r="A268" s="180" t="s">
        <v>630</v>
      </c>
      <c r="B268" s="311"/>
      <c r="C268" s="245" t="s">
        <v>19</v>
      </c>
      <c r="D268" s="245" t="s">
        <v>33</v>
      </c>
      <c r="E268" s="245" t="s">
        <v>508</v>
      </c>
      <c r="F268" s="245" t="s">
        <v>477</v>
      </c>
      <c r="G268" s="230">
        <v>13703.2</v>
      </c>
      <c r="H268" s="230">
        <v>8331.2000000000007</v>
      </c>
      <c r="I268" s="230">
        <f>H268</f>
        <v>8331.2000000000007</v>
      </c>
    </row>
    <row r="269" spans="1:9" s="129" customFormat="1" ht="31.5">
      <c r="A269" s="249" t="s">
        <v>40</v>
      </c>
      <c r="B269" s="311"/>
      <c r="C269" s="248" t="s">
        <v>19</v>
      </c>
      <c r="D269" s="248" t="s">
        <v>24</v>
      </c>
      <c r="E269" s="248"/>
      <c r="F269" s="248"/>
      <c r="G269" s="181">
        <f>G270</f>
        <v>3454.3</v>
      </c>
      <c r="H269" s="181">
        <f t="shared" ref="G269:I270" si="22">H270</f>
        <v>0</v>
      </c>
      <c r="I269" s="181">
        <f t="shared" si="22"/>
        <v>0</v>
      </c>
    </row>
    <row r="270" spans="1:9" s="129" customFormat="1" ht="69.75" customHeight="1">
      <c r="A270" s="179" t="s">
        <v>873</v>
      </c>
      <c r="B270" s="311"/>
      <c r="C270" s="245" t="s">
        <v>19</v>
      </c>
      <c r="D270" s="245" t="s">
        <v>24</v>
      </c>
      <c r="E270" s="245" t="s">
        <v>872</v>
      </c>
      <c r="F270" s="245"/>
      <c r="G270" s="230">
        <f t="shared" si="22"/>
        <v>3454.3</v>
      </c>
      <c r="H270" s="230">
        <f t="shared" si="22"/>
        <v>0</v>
      </c>
      <c r="I270" s="230">
        <f t="shared" si="22"/>
        <v>0</v>
      </c>
    </row>
    <row r="271" spans="1:9" s="129" customFormat="1" ht="42.75" customHeight="1">
      <c r="A271" s="180" t="s">
        <v>630</v>
      </c>
      <c r="B271" s="311"/>
      <c r="C271" s="245" t="s">
        <v>19</v>
      </c>
      <c r="D271" s="245" t="s">
        <v>24</v>
      </c>
      <c r="E271" s="245" t="s">
        <v>872</v>
      </c>
      <c r="F271" s="245" t="s">
        <v>477</v>
      </c>
      <c r="G271" s="230">
        <v>3454.3</v>
      </c>
      <c r="H271" s="230">
        <v>0</v>
      </c>
      <c r="I271" s="230">
        <v>0</v>
      </c>
    </row>
    <row r="272" spans="1:9" s="129" customFormat="1" ht="41.25" customHeight="1">
      <c r="A272" s="249" t="s">
        <v>43</v>
      </c>
      <c r="B272" s="311"/>
      <c r="C272" s="248" t="s">
        <v>44</v>
      </c>
      <c r="D272" s="248" t="s">
        <v>469</v>
      </c>
      <c r="E272" s="245"/>
      <c r="F272" s="245"/>
      <c r="G272" s="181">
        <f>G274+G273+G278+G276</f>
        <v>3920</v>
      </c>
      <c r="H272" s="181">
        <f>H273+H278</f>
        <v>549.1</v>
      </c>
      <c r="I272" s="181">
        <f>I273+I278</f>
        <v>549.1</v>
      </c>
    </row>
    <row r="273" spans="1:9" s="129" customFormat="1" ht="25.5" customHeight="1">
      <c r="A273" s="249" t="s">
        <v>45</v>
      </c>
      <c r="B273" s="312"/>
      <c r="C273" s="248" t="s">
        <v>44</v>
      </c>
      <c r="D273" s="248" t="s">
        <v>10</v>
      </c>
      <c r="E273" s="248"/>
      <c r="F273" s="248"/>
      <c r="G273" s="181">
        <f t="shared" ref="G273:I274" si="23">G274</f>
        <v>0</v>
      </c>
      <c r="H273" s="181">
        <f t="shared" si="23"/>
        <v>549.1</v>
      </c>
      <c r="I273" s="181">
        <f t="shared" si="23"/>
        <v>549.1</v>
      </c>
    </row>
    <row r="274" spans="1:9" s="129" customFormat="1" ht="153.75" customHeight="1">
      <c r="A274" s="180" t="s">
        <v>939</v>
      </c>
      <c r="B274" s="311"/>
      <c r="C274" s="245" t="s">
        <v>44</v>
      </c>
      <c r="D274" s="245" t="s">
        <v>10</v>
      </c>
      <c r="E274" s="245" t="s">
        <v>510</v>
      </c>
      <c r="F274" s="245"/>
      <c r="G274" s="230">
        <f t="shared" si="23"/>
        <v>0</v>
      </c>
      <c r="H274" s="230">
        <f t="shared" si="23"/>
        <v>549.1</v>
      </c>
      <c r="I274" s="230">
        <f t="shared" si="23"/>
        <v>549.1</v>
      </c>
    </row>
    <row r="275" spans="1:9" s="129" customFormat="1" ht="42" customHeight="1">
      <c r="A275" s="180" t="s">
        <v>630</v>
      </c>
      <c r="B275" s="311"/>
      <c r="C275" s="245" t="s">
        <v>44</v>
      </c>
      <c r="D275" s="245" t="s">
        <v>10</v>
      </c>
      <c r="E275" s="245" t="s">
        <v>510</v>
      </c>
      <c r="F275" s="245" t="s">
        <v>477</v>
      </c>
      <c r="G275" s="230">
        <v>0</v>
      </c>
      <c r="H275" s="230">
        <v>549.1</v>
      </c>
      <c r="I275" s="230">
        <f>H275</f>
        <v>549.1</v>
      </c>
    </row>
    <row r="276" spans="1:9" s="129" customFormat="1" ht="104.25" customHeight="1">
      <c r="A276" s="180" t="s">
        <v>652</v>
      </c>
      <c r="B276" s="311"/>
      <c r="C276" s="245" t="s">
        <v>44</v>
      </c>
      <c r="D276" s="245" t="s">
        <v>50</v>
      </c>
      <c r="E276" s="245"/>
      <c r="F276" s="245"/>
      <c r="G276" s="230">
        <f>G277</f>
        <v>3000</v>
      </c>
      <c r="H276" s="230">
        <f>H277</f>
        <v>0</v>
      </c>
      <c r="I276" s="230">
        <f>I277</f>
        <v>0</v>
      </c>
    </row>
    <row r="277" spans="1:9" s="129" customFormat="1" ht="55.5" customHeight="1">
      <c r="A277" s="180" t="s">
        <v>1043</v>
      </c>
      <c r="B277" s="311"/>
      <c r="C277" s="245" t="s">
        <v>44</v>
      </c>
      <c r="D277" s="245" t="s">
        <v>50</v>
      </c>
      <c r="E277" s="245" t="s">
        <v>512</v>
      </c>
      <c r="F277" s="245" t="s">
        <v>481</v>
      </c>
      <c r="G277" s="230">
        <v>3000</v>
      </c>
      <c r="H277" s="230">
        <v>0</v>
      </c>
      <c r="I277" s="230">
        <v>0</v>
      </c>
    </row>
    <row r="278" spans="1:9" s="129" customFormat="1" ht="42.75" customHeight="1">
      <c r="A278" s="249" t="s">
        <v>62</v>
      </c>
      <c r="B278" s="312"/>
      <c r="C278" s="248" t="s">
        <v>44</v>
      </c>
      <c r="D278" s="248" t="s">
        <v>44</v>
      </c>
      <c r="E278" s="245"/>
      <c r="F278" s="245"/>
      <c r="G278" s="181">
        <f>G279+G281</f>
        <v>920</v>
      </c>
      <c r="H278" s="181">
        <f>H279+H281</f>
        <v>0</v>
      </c>
      <c r="I278" s="181">
        <f t="shared" ref="G278:I279" si="24">I279</f>
        <v>0</v>
      </c>
    </row>
    <row r="279" spans="1:9" s="129" customFormat="1" ht="78" customHeight="1">
      <c r="A279" s="180" t="s">
        <v>878</v>
      </c>
      <c r="B279" s="311"/>
      <c r="C279" s="245" t="s">
        <v>44</v>
      </c>
      <c r="D279" s="245" t="s">
        <v>44</v>
      </c>
      <c r="E279" s="245" t="s">
        <v>512</v>
      </c>
      <c r="F279" s="245"/>
      <c r="G279" s="230">
        <f t="shared" si="24"/>
        <v>400</v>
      </c>
      <c r="H279" s="230">
        <f t="shared" si="24"/>
        <v>0</v>
      </c>
      <c r="I279" s="230">
        <f t="shared" si="24"/>
        <v>0</v>
      </c>
    </row>
    <row r="280" spans="1:9" s="129" customFormat="1" ht="54" customHeight="1">
      <c r="A280" s="180" t="s">
        <v>1043</v>
      </c>
      <c r="B280" s="311"/>
      <c r="C280" s="245" t="s">
        <v>44</v>
      </c>
      <c r="D280" s="245" t="s">
        <v>44</v>
      </c>
      <c r="E280" s="245" t="s">
        <v>512</v>
      </c>
      <c r="F280" s="245" t="s">
        <v>481</v>
      </c>
      <c r="G280" s="230">
        <v>400</v>
      </c>
      <c r="H280" s="230">
        <v>0</v>
      </c>
      <c r="I280" s="230">
        <v>0</v>
      </c>
    </row>
    <row r="281" spans="1:9" s="129" customFormat="1" ht="134.25" customHeight="1">
      <c r="A281" s="180" t="s">
        <v>937</v>
      </c>
      <c r="B281" s="311"/>
      <c r="C281" s="245" t="s">
        <v>44</v>
      </c>
      <c r="D281" s="245" t="s">
        <v>44</v>
      </c>
      <c r="E281" s="245" t="s">
        <v>535</v>
      </c>
      <c r="F281" s="245"/>
      <c r="G281" s="230">
        <f>G282</f>
        <v>520</v>
      </c>
      <c r="H281" s="230">
        <f>H282</f>
        <v>0</v>
      </c>
      <c r="I281" s="230">
        <f>I282</f>
        <v>0</v>
      </c>
    </row>
    <row r="282" spans="1:9" s="129" customFormat="1" ht="26.25" customHeight="1">
      <c r="A282" s="180" t="s">
        <v>470</v>
      </c>
      <c r="B282" s="311"/>
      <c r="C282" s="245" t="s">
        <v>44</v>
      </c>
      <c r="D282" s="245" t="s">
        <v>44</v>
      </c>
      <c r="E282" s="245" t="s">
        <v>535</v>
      </c>
      <c r="F282" s="245" t="s">
        <v>471</v>
      </c>
      <c r="G282" s="230">
        <v>520</v>
      </c>
      <c r="H282" s="230">
        <v>0</v>
      </c>
      <c r="I282" s="230">
        <v>0</v>
      </c>
    </row>
    <row r="283" spans="1:9" s="129" customFormat="1" ht="63" customHeight="1">
      <c r="A283" s="249" t="s">
        <v>476</v>
      </c>
      <c r="B283" s="312">
        <v>873</v>
      </c>
      <c r="C283" s="248"/>
      <c r="D283" s="248"/>
      <c r="E283" s="248"/>
      <c r="F283" s="248"/>
      <c r="G283" s="181">
        <f>G284</f>
        <v>2302054.2999999998</v>
      </c>
      <c r="H283" s="181">
        <f>H284</f>
        <v>2272389.7999999998</v>
      </c>
      <c r="I283" s="181">
        <f>I284</f>
        <v>2258886.6</v>
      </c>
    </row>
    <row r="284" spans="1:9" s="129" customFormat="1" ht="15.75">
      <c r="A284" s="249" t="s">
        <v>63</v>
      </c>
      <c r="B284" s="311"/>
      <c r="C284" s="248" t="s">
        <v>64</v>
      </c>
      <c r="D284" s="248" t="s">
        <v>469</v>
      </c>
      <c r="E284" s="245"/>
      <c r="F284" s="245"/>
      <c r="G284" s="181">
        <f>G285+G301+G321+G330+G336+G333</f>
        <v>2302054.2999999998</v>
      </c>
      <c r="H284" s="181">
        <f>H285+H301+H321+H330+H336+H333</f>
        <v>2272389.7999999998</v>
      </c>
      <c r="I284" s="181">
        <f>I285+I301+I321+I330+I336+I333</f>
        <v>2258886.6</v>
      </c>
    </row>
    <row r="285" spans="1:9" s="129" customFormat="1" ht="29.25" customHeight="1">
      <c r="A285" s="249" t="s">
        <v>421</v>
      </c>
      <c r="B285" s="312"/>
      <c r="C285" s="248" t="s">
        <v>64</v>
      </c>
      <c r="D285" s="248" t="s">
        <v>10</v>
      </c>
      <c r="E285" s="248"/>
      <c r="F285" s="248"/>
      <c r="G285" s="181">
        <f>G290+G286+G296+G294+G288</f>
        <v>1010156.6</v>
      </c>
      <c r="H285" s="181">
        <f>H290+H286+H296+H294+H288</f>
        <v>1054849</v>
      </c>
      <c r="I285" s="181">
        <f>I290+I286+I296+I294+I288</f>
        <v>1052705.5</v>
      </c>
    </row>
    <row r="286" spans="1:9" s="129" customFormat="1" ht="236.25" customHeight="1">
      <c r="A286" s="180" t="s">
        <v>602</v>
      </c>
      <c r="B286" s="311"/>
      <c r="C286" s="245" t="s">
        <v>64</v>
      </c>
      <c r="D286" s="245" t="s">
        <v>10</v>
      </c>
      <c r="E286" s="245" t="s">
        <v>537</v>
      </c>
      <c r="F286" s="245"/>
      <c r="G286" s="230">
        <f>G287</f>
        <v>717234.6</v>
      </c>
      <c r="H286" s="230">
        <f>H287</f>
        <v>710238.9</v>
      </c>
      <c r="I286" s="230">
        <f>I287</f>
        <v>710238.9</v>
      </c>
    </row>
    <row r="287" spans="1:9" s="129" customFormat="1" ht="104.25" customHeight="1">
      <c r="A287" s="180" t="s">
        <v>482</v>
      </c>
      <c r="B287" s="311"/>
      <c r="C287" s="245" t="s">
        <v>64</v>
      </c>
      <c r="D287" s="245" t="s">
        <v>10</v>
      </c>
      <c r="E287" s="245" t="s">
        <v>537</v>
      </c>
      <c r="F287" s="245" t="s">
        <v>483</v>
      </c>
      <c r="G287" s="230">
        <v>717234.6</v>
      </c>
      <c r="H287" s="230">
        <v>710238.9</v>
      </c>
      <c r="I287" s="230">
        <f>H287</f>
        <v>710238.9</v>
      </c>
    </row>
    <row r="288" spans="1:9" s="129" customFormat="1" ht="216.75" customHeight="1">
      <c r="A288" s="180" t="s">
        <v>627</v>
      </c>
      <c r="B288" s="311"/>
      <c r="C288" s="245" t="s">
        <v>64</v>
      </c>
      <c r="D288" s="245" t="s">
        <v>10</v>
      </c>
      <c r="E288" s="245" t="s">
        <v>1042</v>
      </c>
      <c r="F288" s="245"/>
      <c r="G288" s="230">
        <f>G289</f>
        <v>2468.1</v>
      </c>
      <c r="H288" s="230">
        <f>H289</f>
        <v>7781.2</v>
      </c>
      <c r="I288" s="230">
        <f>I289</f>
        <v>7781.2</v>
      </c>
    </row>
    <row r="289" spans="1:9" s="129" customFormat="1" ht="46.5" customHeight="1">
      <c r="A289" s="180" t="s">
        <v>630</v>
      </c>
      <c r="B289" s="311"/>
      <c r="C289" s="245" t="s">
        <v>64</v>
      </c>
      <c r="D289" s="245" t="s">
        <v>10</v>
      </c>
      <c r="E289" s="245" t="s">
        <v>1042</v>
      </c>
      <c r="F289" s="245" t="s">
        <v>477</v>
      </c>
      <c r="G289" s="230">
        <v>2468.1</v>
      </c>
      <c r="H289" s="230">
        <v>7781.2</v>
      </c>
      <c r="I289" s="230">
        <f>H289</f>
        <v>7781.2</v>
      </c>
    </row>
    <row r="290" spans="1:9" s="129" customFormat="1" ht="110.25">
      <c r="A290" s="180" t="s">
        <v>940</v>
      </c>
      <c r="B290" s="311"/>
      <c r="C290" s="245" t="s">
        <v>64</v>
      </c>
      <c r="D290" s="245" t="s">
        <v>10</v>
      </c>
      <c r="E290" s="245" t="s">
        <v>538</v>
      </c>
      <c r="F290" s="245"/>
      <c r="G290" s="230">
        <f>SUM(G291:G293)</f>
        <v>280142.40000000002</v>
      </c>
      <c r="H290" s="230">
        <f>SUM(H291:H293)</f>
        <v>317299.8</v>
      </c>
      <c r="I290" s="230">
        <f>SUM(I291:I293)</f>
        <v>319267.40000000002</v>
      </c>
    </row>
    <row r="291" spans="1:9" s="129" customFormat="1" ht="94.5">
      <c r="A291" s="180" t="s">
        <v>482</v>
      </c>
      <c r="B291" s="311"/>
      <c r="C291" s="245" t="s">
        <v>64</v>
      </c>
      <c r="D291" s="245" t="s">
        <v>10</v>
      </c>
      <c r="E291" s="245" t="s">
        <v>538</v>
      </c>
      <c r="F291" s="245" t="s">
        <v>483</v>
      </c>
      <c r="G291" s="230">
        <v>1601.9</v>
      </c>
      <c r="H291" s="230">
        <v>0</v>
      </c>
      <c r="I291" s="230">
        <v>0</v>
      </c>
    </row>
    <row r="292" spans="1:9" s="129" customFormat="1" ht="31.5">
      <c r="A292" s="180" t="s">
        <v>630</v>
      </c>
      <c r="B292" s="311"/>
      <c r="C292" s="245" t="s">
        <v>64</v>
      </c>
      <c r="D292" s="245" t="s">
        <v>10</v>
      </c>
      <c r="E292" s="245" t="s">
        <v>538</v>
      </c>
      <c r="F292" s="245" t="s">
        <v>477</v>
      </c>
      <c r="G292" s="230">
        <v>265368.2</v>
      </c>
      <c r="H292" s="230">
        <f>126805+177246.3</f>
        <v>304051.3</v>
      </c>
      <c r="I292" s="230">
        <f>121682.7+184336.2</f>
        <v>306018.90000000002</v>
      </c>
    </row>
    <row r="293" spans="1:9" s="129" customFormat="1" ht="15.75">
      <c r="A293" s="180" t="s">
        <v>470</v>
      </c>
      <c r="B293" s="311"/>
      <c r="C293" s="245" t="s">
        <v>64</v>
      </c>
      <c r="D293" s="245" t="s">
        <v>10</v>
      </c>
      <c r="E293" s="245" t="s">
        <v>538</v>
      </c>
      <c r="F293" s="245" t="s">
        <v>471</v>
      </c>
      <c r="G293" s="230">
        <v>13172.3</v>
      </c>
      <c r="H293" s="230">
        <v>13248.5</v>
      </c>
      <c r="I293" s="230">
        <f>H293</f>
        <v>13248.5</v>
      </c>
    </row>
    <row r="294" spans="1:9" s="129" customFormat="1" ht="63">
      <c r="A294" s="180" t="s">
        <v>605</v>
      </c>
      <c r="B294" s="311"/>
      <c r="C294" s="245" t="s">
        <v>64</v>
      </c>
      <c r="D294" s="245" t="s">
        <v>10</v>
      </c>
      <c r="E294" s="251" t="s">
        <v>517</v>
      </c>
      <c r="F294" s="245"/>
      <c r="G294" s="230">
        <f>G295</f>
        <v>7908.6</v>
      </c>
      <c r="H294" s="230">
        <f>H295</f>
        <v>19529.099999999999</v>
      </c>
      <c r="I294" s="230">
        <f>I295</f>
        <v>15418</v>
      </c>
    </row>
    <row r="295" spans="1:9" s="129" customFormat="1" ht="31.5">
      <c r="A295" s="180" t="s">
        <v>630</v>
      </c>
      <c r="B295" s="311"/>
      <c r="C295" s="245" t="s">
        <v>64</v>
      </c>
      <c r="D295" s="245" t="s">
        <v>10</v>
      </c>
      <c r="E295" s="251" t="s">
        <v>517</v>
      </c>
      <c r="F295" s="245" t="s">
        <v>477</v>
      </c>
      <c r="G295" s="230">
        <v>7908.6</v>
      </c>
      <c r="H295" s="230">
        <v>19529.099999999999</v>
      </c>
      <c r="I295" s="230">
        <v>15418</v>
      </c>
    </row>
    <row r="296" spans="1:9" s="129" customFormat="1" ht="47.25">
      <c r="A296" s="180" t="s">
        <v>607</v>
      </c>
      <c r="B296" s="311"/>
      <c r="C296" s="245" t="s">
        <v>64</v>
      </c>
      <c r="D296" s="245" t="s">
        <v>10</v>
      </c>
      <c r="E296" s="243" t="s">
        <v>556</v>
      </c>
      <c r="F296" s="245"/>
      <c r="G296" s="230">
        <f>G299+G297</f>
        <v>2402.8999999999996</v>
      </c>
      <c r="H296" s="230">
        <f>H299+H297</f>
        <v>0</v>
      </c>
      <c r="I296" s="230">
        <f>I299+I297</f>
        <v>0</v>
      </c>
    </row>
    <row r="297" spans="1:9" s="129" customFormat="1" ht="71.25" customHeight="1">
      <c r="A297" s="180" t="s">
        <v>664</v>
      </c>
      <c r="B297" s="311"/>
      <c r="C297" s="245" t="s">
        <v>64</v>
      </c>
      <c r="D297" s="245" t="s">
        <v>10</v>
      </c>
      <c r="E297" s="251" t="s">
        <v>645</v>
      </c>
      <c r="F297" s="245"/>
      <c r="G297" s="230">
        <f>G298</f>
        <v>221.2</v>
      </c>
      <c r="H297" s="230">
        <f>H298</f>
        <v>0</v>
      </c>
      <c r="I297" s="230">
        <f>I298</f>
        <v>0</v>
      </c>
    </row>
    <row r="298" spans="1:9" s="129" customFormat="1" ht="41.25" customHeight="1">
      <c r="A298" s="180" t="s">
        <v>630</v>
      </c>
      <c r="B298" s="311"/>
      <c r="C298" s="245" t="s">
        <v>64</v>
      </c>
      <c r="D298" s="245" t="s">
        <v>10</v>
      </c>
      <c r="E298" s="251" t="s">
        <v>645</v>
      </c>
      <c r="F298" s="245" t="s">
        <v>477</v>
      </c>
      <c r="G298" s="230">
        <v>221.2</v>
      </c>
      <c r="H298" s="230">
        <v>0</v>
      </c>
      <c r="I298" s="230">
        <v>0</v>
      </c>
    </row>
    <row r="299" spans="1:9" s="129" customFormat="1" ht="57" customHeight="1">
      <c r="A299" s="180" t="s">
        <v>674</v>
      </c>
      <c r="B299" s="311"/>
      <c r="C299" s="245" t="s">
        <v>64</v>
      </c>
      <c r="D299" s="245" t="s">
        <v>10</v>
      </c>
      <c r="E299" s="245" t="s">
        <v>675</v>
      </c>
      <c r="F299" s="245"/>
      <c r="G299" s="230">
        <f>G300</f>
        <v>2181.6999999999998</v>
      </c>
      <c r="H299" s="230">
        <f>H300</f>
        <v>0</v>
      </c>
      <c r="I299" s="230">
        <f>I300</f>
        <v>0</v>
      </c>
    </row>
    <row r="300" spans="1:9" s="129" customFormat="1" ht="38.25" customHeight="1">
      <c r="A300" s="180" t="s">
        <v>630</v>
      </c>
      <c r="B300" s="311"/>
      <c r="C300" s="245" t="s">
        <v>64</v>
      </c>
      <c r="D300" s="245" t="s">
        <v>10</v>
      </c>
      <c r="E300" s="245" t="s">
        <v>675</v>
      </c>
      <c r="F300" s="245" t="s">
        <v>477</v>
      </c>
      <c r="G300" s="230">
        <v>2181.6999999999998</v>
      </c>
      <c r="H300" s="230">
        <v>0</v>
      </c>
      <c r="I300" s="230">
        <v>0</v>
      </c>
    </row>
    <row r="301" spans="1:9" s="129" customFormat="1" ht="25.5" customHeight="1">
      <c r="A301" s="249" t="s">
        <v>65</v>
      </c>
      <c r="B301" s="312"/>
      <c r="C301" s="248" t="s">
        <v>64</v>
      </c>
      <c r="D301" s="248" t="s">
        <v>50</v>
      </c>
      <c r="E301" s="248"/>
      <c r="F301" s="248"/>
      <c r="G301" s="181">
        <f>G302+G306+G308+G316+G312+G314+G304</f>
        <v>1246960.9000000001</v>
      </c>
      <c r="H301" s="181">
        <f>H302+H306+H308+H316+H312+H314+H304</f>
        <v>1171293.0999999999</v>
      </c>
      <c r="I301" s="181">
        <f>I302+I306+I308+I316+I312+I314+I304</f>
        <v>1159933.3999999999</v>
      </c>
    </row>
    <row r="302" spans="1:9" s="129" customFormat="1" ht="234.75" customHeight="1">
      <c r="A302" s="180" t="s">
        <v>602</v>
      </c>
      <c r="B302" s="311"/>
      <c r="C302" s="245" t="s">
        <v>64</v>
      </c>
      <c r="D302" s="245" t="s">
        <v>50</v>
      </c>
      <c r="E302" s="245" t="s">
        <v>540</v>
      </c>
      <c r="F302" s="245"/>
      <c r="G302" s="230">
        <f>G303</f>
        <v>946144.1</v>
      </c>
      <c r="H302" s="230">
        <f>H303</f>
        <v>955053</v>
      </c>
      <c r="I302" s="230">
        <f>I303</f>
        <v>955053</v>
      </c>
    </row>
    <row r="303" spans="1:9" s="129" customFormat="1" ht="105.75" customHeight="1">
      <c r="A303" s="180" t="s">
        <v>482</v>
      </c>
      <c r="B303" s="311"/>
      <c r="C303" s="245" t="s">
        <v>64</v>
      </c>
      <c r="D303" s="245" t="s">
        <v>50</v>
      </c>
      <c r="E303" s="245" t="s">
        <v>540</v>
      </c>
      <c r="F303" s="245" t="s">
        <v>483</v>
      </c>
      <c r="G303" s="230">
        <v>946144.1</v>
      </c>
      <c r="H303" s="230">
        <v>955053</v>
      </c>
      <c r="I303" s="230">
        <f>H303</f>
        <v>955053</v>
      </c>
    </row>
    <row r="304" spans="1:9" s="129" customFormat="1" ht="54.75" customHeight="1">
      <c r="A304" s="180" t="s">
        <v>681</v>
      </c>
      <c r="B304" s="311"/>
      <c r="C304" s="245" t="s">
        <v>64</v>
      </c>
      <c r="D304" s="245" t="s">
        <v>50</v>
      </c>
      <c r="E304" s="245" t="s">
        <v>680</v>
      </c>
      <c r="F304" s="245"/>
      <c r="G304" s="230">
        <f>G305</f>
        <v>8.3000000000000007</v>
      </c>
      <c r="H304" s="230">
        <f>H305</f>
        <v>0</v>
      </c>
      <c r="I304" s="230">
        <f>I305</f>
        <v>0</v>
      </c>
    </row>
    <row r="305" spans="1:9" s="129" customFormat="1" ht="110.25" customHeight="1">
      <c r="A305" s="180" t="s">
        <v>482</v>
      </c>
      <c r="B305" s="311"/>
      <c r="C305" s="245" t="s">
        <v>64</v>
      </c>
      <c r="D305" s="245" t="s">
        <v>50</v>
      </c>
      <c r="E305" s="245" t="s">
        <v>680</v>
      </c>
      <c r="F305" s="245" t="s">
        <v>483</v>
      </c>
      <c r="G305" s="230">
        <v>8.3000000000000007</v>
      </c>
      <c r="H305" s="230">
        <v>0</v>
      </c>
      <c r="I305" s="230">
        <v>0</v>
      </c>
    </row>
    <row r="306" spans="1:9" s="129" customFormat="1" ht="208.5" customHeight="1">
      <c r="A306" s="180" t="s">
        <v>627</v>
      </c>
      <c r="B306" s="311"/>
      <c r="C306" s="245" t="s">
        <v>64</v>
      </c>
      <c r="D306" s="245" t="s">
        <v>50</v>
      </c>
      <c r="E306" s="245" t="s">
        <v>541</v>
      </c>
      <c r="F306" s="245"/>
      <c r="G306" s="230">
        <f>G307</f>
        <v>71764.3</v>
      </c>
      <c r="H306" s="230">
        <f>H307</f>
        <v>13665.2</v>
      </c>
      <c r="I306" s="230">
        <f>I307</f>
        <v>13665.2</v>
      </c>
    </row>
    <row r="307" spans="1:9" s="129" customFormat="1" ht="31.5">
      <c r="A307" s="180" t="s">
        <v>630</v>
      </c>
      <c r="B307" s="311"/>
      <c r="C307" s="245" t="s">
        <v>64</v>
      </c>
      <c r="D307" s="245" t="s">
        <v>50</v>
      </c>
      <c r="E307" s="245" t="s">
        <v>541</v>
      </c>
      <c r="F307" s="245" t="s">
        <v>477</v>
      </c>
      <c r="G307" s="230">
        <v>71764.3</v>
      </c>
      <c r="H307" s="230">
        <v>13665.2</v>
      </c>
      <c r="I307" s="230">
        <f>H307</f>
        <v>13665.2</v>
      </c>
    </row>
    <row r="308" spans="1:9" s="129" customFormat="1" ht="120.75" customHeight="1">
      <c r="A308" s="180" t="s">
        <v>940</v>
      </c>
      <c r="B308" s="311"/>
      <c r="C308" s="245" t="s">
        <v>64</v>
      </c>
      <c r="D308" s="245" t="s">
        <v>50</v>
      </c>
      <c r="E308" s="245" t="s">
        <v>539</v>
      </c>
      <c r="F308" s="245"/>
      <c r="G308" s="230">
        <f>SUM(G309:G311)</f>
        <v>214693.40000000002</v>
      </c>
      <c r="H308" s="230">
        <f>SUM(H309:H311)</f>
        <v>181434.8</v>
      </c>
      <c r="I308" s="230">
        <f>SUM(I309:I311)</f>
        <v>172624.1</v>
      </c>
    </row>
    <row r="309" spans="1:9" s="129" customFormat="1" ht="104.25" customHeight="1">
      <c r="A309" s="180" t="s">
        <v>482</v>
      </c>
      <c r="B309" s="311"/>
      <c r="C309" s="245" t="s">
        <v>64</v>
      </c>
      <c r="D309" s="245" t="s">
        <v>50</v>
      </c>
      <c r="E309" s="245" t="s">
        <v>539</v>
      </c>
      <c r="F309" s="245" t="s">
        <v>483</v>
      </c>
      <c r="G309" s="230">
        <f>7224.7+2.5</f>
        <v>7227.2</v>
      </c>
      <c r="H309" s="230">
        <v>0</v>
      </c>
      <c r="I309" s="230">
        <v>0</v>
      </c>
    </row>
    <row r="310" spans="1:9" s="129" customFormat="1" ht="31.5">
      <c r="A310" s="180" t="s">
        <v>630</v>
      </c>
      <c r="B310" s="311"/>
      <c r="C310" s="245" t="s">
        <v>64</v>
      </c>
      <c r="D310" s="245" t="s">
        <v>50</v>
      </c>
      <c r="E310" s="245" t="s">
        <v>539</v>
      </c>
      <c r="F310" s="245" t="s">
        <v>477</v>
      </c>
      <c r="G310" s="230">
        <v>183668.6</v>
      </c>
      <c r="H310" s="230">
        <v>159667.79999999999</v>
      </c>
      <c r="I310" s="230">
        <v>150857.1</v>
      </c>
    </row>
    <row r="311" spans="1:9" s="129" customFormat="1" ht="22.5" customHeight="1">
      <c r="A311" s="180" t="s">
        <v>470</v>
      </c>
      <c r="B311" s="311"/>
      <c r="C311" s="245" t="s">
        <v>64</v>
      </c>
      <c r="D311" s="245" t="s">
        <v>50</v>
      </c>
      <c r="E311" s="245" t="s">
        <v>539</v>
      </c>
      <c r="F311" s="245" t="s">
        <v>471</v>
      </c>
      <c r="G311" s="230">
        <v>23797.599999999999</v>
      </c>
      <c r="H311" s="230">
        <v>21767</v>
      </c>
      <c r="I311" s="230">
        <f>H311</f>
        <v>21767</v>
      </c>
    </row>
    <row r="312" spans="1:9" s="129" customFormat="1" ht="73.5" customHeight="1">
      <c r="A312" s="180" t="s">
        <v>677</v>
      </c>
      <c r="B312" s="311"/>
      <c r="C312" s="245" t="s">
        <v>64</v>
      </c>
      <c r="D312" s="245" t="s">
        <v>50</v>
      </c>
      <c r="E312" s="245" t="s">
        <v>679</v>
      </c>
      <c r="F312" s="245"/>
      <c r="G312" s="230">
        <f>G313</f>
        <v>1211.3</v>
      </c>
      <c r="H312" s="230">
        <f>H313</f>
        <v>839.4</v>
      </c>
      <c r="I312" s="230">
        <f>I313</f>
        <v>839.4</v>
      </c>
    </row>
    <row r="313" spans="1:9" s="129" customFormat="1" ht="31.5">
      <c r="A313" s="180" t="s">
        <v>630</v>
      </c>
      <c r="B313" s="311"/>
      <c r="C313" s="245" t="s">
        <v>64</v>
      </c>
      <c r="D313" s="245" t="s">
        <v>50</v>
      </c>
      <c r="E313" s="245" t="s">
        <v>679</v>
      </c>
      <c r="F313" s="245" t="s">
        <v>477</v>
      </c>
      <c r="G313" s="230">
        <v>1211.3</v>
      </c>
      <c r="H313" s="230">
        <v>839.4</v>
      </c>
      <c r="I313" s="230">
        <f>H313</f>
        <v>839.4</v>
      </c>
    </row>
    <row r="314" spans="1:9" s="129" customFormat="1" ht="74.25" customHeight="1">
      <c r="A314" s="180" t="s">
        <v>605</v>
      </c>
      <c r="B314" s="311"/>
      <c r="C314" s="245" t="s">
        <v>64</v>
      </c>
      <c r="D314" s="245" t="s">
        <v>50</v>
      </c>
      <c r="E314" s="251" t="s">
        <v>517</v>
      </c>
      <c r="F314" s="245"/>
      <c r="G314" s="230">
        <f>G315</f>
        <v>13139.5</v>
      </c>
      <c r="H314" s="230">
        <f>H315</f>
        <v>17751.7</v>
      </c>
      <c r="I314" s="230">
        <f>I315</f>
        <v>17751.7</v>
      </c>
    </row>
    <row r="315" spans="1:9" s="129" customFormat="1" ht="31.5">
      <c r="A315" s="180" t="s">
        <v>630</v>
      </c>
      <c r="B315" s="311"/>
      <c r="C315" s="245" t="s">
        <v>64</v>
      </c>
      <c r="D315" s="245" t="s">
        <v>50</v>
      </c>
      <c r="E315" s="251" t="s">
        <v>517</v>
      </c>
      <c r="F315" s="245" t="s">
        <v>477</v>
      </c>
      <c r="G315" s="230">
        <v>13139.5</v>
      </c>
      <c r="H315" s="230">
        <v>17751.7</v>
      </c>
      <c r="I315" s="230">
        <f>H315</f>
        <v>17751.7</v>
      </c>
    </row>
    <row r="316" spans="1:9" s="129" customFormat="1" ht="70.5" customHeight="1">
      <c r="A316" s="180" t="s">
        <v>607</v>
      </c>
      <c r="B316" s="312"/>
      <c r="C316" s="245" t="s">
        <v>64</v>
      </c>
      <c r="D316" s="245" t="s">
        <v>50</v>
      </c>
      <c r="E316" s="243" t="s">
        <v>556</v>
      </c>
      <c r="F316" s="245"/>
      <c r="G316" s="230">
        <f>G319+G317</f>
        <v>0</v>
      </c>
      <c r="H316" s="230">
        <f>H319+H317</f>
        <v>2549</v>
      </c>
      <c r="I316" s="230">
        <f>I319+I317</f>
        <v>0</v>
      </c>
    </row>
    <row r="317" spans="1:9" s="129" customFormat="1" ht="45" customHeight="1">
      <c r="A317" s="180" t="s">
        <v>909</v>
      </c>
      <c r="B317" s="312"/>
      <c r="C317" s="245" t="s">
        <v>64</v>
      </c>
      <c r="D317" s="245" t="s">
        <v>50</v>
      </c>
      <c r="E317" s="245" t="s">
        <v>675</v>
      </c>
      <c r="F317" s="245"/>
      <c r="G317" s="230">
        <f>G318</f>
        <v>0</v>
      </c>
      <c r="H317" s="230">
        <f>H318</f>
        <v>2149</v>
      </c>
      <c r="I317" s="230">
        <f>I318</f>
        <v>0</v>
      </c>
    </row>
    <row r="318" spans="1:9" s="129" customFormat="1" ht="42.75" customHeight="1">
      <c r="A318" s="180" t="s">
        <v>630</v>
      </c>
      <c r="B318" s="312"/>
      <c r="C318" s="245" t="s">
        <v>64</v>
      </c>
      <c r="D318" s="245" t="s">
        <v>50</v>
      </c>
      <c r="E318" s="245" t="s">
        <v>675</v>
      </c>
      <c r="F318" s="245" t="s">
        <v>477</v>
      </c>
      <c r="G318" s="230">
        <v>0</v>
      </c>
      <c r="H318" s="230">
        <v>2149</v>
      </c>
      <c r="I318" s="230">
        <v>0</v>
      </c>
    </row>
    <row r="319" spans="1:9" s="129" customFormat="1" ht="74.25" customHeight="1">
      <c r="A319" s="180" t="s">
        <v>664</v>
      </c>
      <c r="B319" s="312"/>
      <c r="C319" s="245" t="s">
        <v>64</v>
      </c>
      <c r="D319" s="245" t="s">
        <v>50</v>
      </c>
      <c r="E319" s="243" t="s">
        <v>645</v>
      </c>
      <c r="F319" s="245"/>
      <c r="G319" s="230">
        <f>G320</f>
        <v>0</v>
      </c>
      <c r="H319" s="230">
        <f>H320</f>
        <v>400</v>
      </c>
      <c r="I319" s="230">
        <f>I320</f>
        <v>0</v>
      </c>
    </row>
    <row r="320" spans="1:9" s="129" customFormat="1" ht="42.75" customHeight="1">
      <c r="A320" s="180" t="s">
        <v>630</v>
      </c>
      <c r="B320" s="312"/>
      <c r="C320" s="245" t="s">
        <v>64</v>
      </c>
      <c r="D320" s="245" t="s">
        <v>50</v>
      </c>
      <c r="E320" s="243" t="s">
        <v>645</v>
      </c>
      <c r="F320" s="245" t="s">
        <v>477</v>
      </c>
      <c r="G320" s="230">
        <v>0</v>
      </c>
      <c r="H320" s="230">
        <v>400</v>
      </c>
      <c r="I320" s="230">
        <v>0</v>
      </c>
    </row>
    <row r="321" spans="1:9" s="129" customFormat="1" ht="26.25" customHeight="1">
      <c r="A321" s="253" t="s">
        <v>594</v>
      </c>
      <c r="B321" s="312"/>
      <c r="C321" s="248" t="s">
        <v>64</v>
      </c>
      <c r="D321" s="248" t="s">
        <v>12</v>
      </c>
      <c r="E321" s="245"/>
      <c r="F321" s="245"/>
      <c r="G321" s="181">
        <f>G324+G328+G322</f>
        <v>27598</v>
      </c>
      <c r="H321" s="181">
        <f>H324+H328+H322</f>
        <v>29101.600000000002</v>
      </c>
      <c r="I321" s="181">
        <f>I324+I328+I322</f>
        <v>29101.600000000002</v>
      </c>
    </row>
    <row r="322" spans="1:9" s="129" customFormat="1" ht="247.5" customHeight="1">
      <c r="A322" s="180" t="s">
        <v>896</v>
      </c>
      <c r="B322" s="312"/>
      <c r="C322" s="245" t="s">
        <v>64</v>
      </c>
      <c r="D322" s="245" t="s">
        <v>12</v>
      </c>
      <c r="E322" s="245" t="s">
        <v>897</v>
      </c>
      <c r="F322" s="245"/>
      <c r="G322" s="230">
        <f>G323</f>
        <v>863.3</v>
      </c>
      <c r="H322" s="230">
        <f>H323</f>
        <v>5179.7</v>
      </c>
      <c r="I322" s="230">
        <f>I323</f>
        <v>5179.7</v>
      </c>
    </row>
    <row r="323" spans="1:9" s="129" customFormat="1" ht="109.5" customHeight="1">
      <c r="A323" s="180" t="s">
        <v>482</v>
      </c>
      <c r="B323" s="312"/>
      <c r="C323" s="245" t="s">
        <v>64</v>
      </c>
      <c r="D323" s="245" t="s">
        <v>12</v>
      </c>
      <c r="E323" s="245" t="s">
        <v>897</v>
      </c>
      <c r="F323" s="245" t="s">
        <v>483</v>
      </c>
      <c r="G323" s="230">
        <v>863.3</v>
      </c>
      <c r="H323" s="230">
        <v>5179.7</v>
      </c>
      <c r="I323" s="230">
        <f>H323</f>
        <v>5179.7</v>
      </c>
    </row>
    <row r="324" spans="1:9" s="129" customFormat="1" ht="120" customHeight="1">
      <c r="A324" s="180" t="s">
        <v>933</v>
      </c>
      <c r="B324" s="311"/>
      <c r="C324" s="245" t="s">
        <v>64</v>
      </c>
      <c r="D324" s="245" t="s">
        <v>12</v>
      </c>
      <c r="E324" s="245" t="s">
        <v>529</v>
      </c>
      <c r="F324" s="245"/>
      <c r="G324" s="230">
        <f>SUM(G325:G327)</f>
        <v>24553</v>
      </c>
      <c r="H324" s="230">
        <f>SUM(H325:H327)</f>
        <v>23921.9</v>
      </c>
      <c r="I324" s="230">
        <f>SUM(I325:I327)</f>
        <v>23921.9</v>
      </c>
    </row>
    <row r="325" spans="1:9" s="129" customFormat="1" ht="94.5">
      <c r="A325" s="180" t="s">
        <v>482</v>
      </c>
      <c r="B325" s="311"/>
      <c r="C325" s="245" t="s">
        <v>64</v>
      </c>
      <c r="D325" s="245" t="s">
        <v>12</v>
      </c>
      <c r="E325" s="245" t="s">
        <v>529</v>
      </c>
      <c r="F325" s="245" t="s">
        <v>483</v>
      </c>
      <c r="G325" s="230">
        <v>22625.4</v>
      </c>
      <c r="H325" s="230">
        <v>22174.9</v>
      </c>
      <c r="I325" s="230">
        <f>H325</f>
        <v>22174.9</v>
      </c>
    </row>
    <row r="326" spans="1:9" s="129" customFormat="1" ht="31.5">
      <c r="A326" s="180" t="s">
        <v>630</v>
      </c>
      <c r="B326" s="311"/>
      <c r="C326" s="245" t="s">
        <v>64</v>
      </c>
      <c r="D326" s="245" t="s">
        <v>12</v>
      </c>
      <c r="E326" s="245" t="s">
        <v>529</v>
      </c>
      <c r="F326" s="245" t="s">
        <v>477</v>
      </c>
      <c r="G326" s="230">
        <v>1872.1</v>
      </c>
      <c r="H326" s="230">
        <v>1692</v>
      </c>
      <c r="I326" s="230">
        <f>H326</f>
        <v>1692</v>
      </c>
    </row>
    <row r="327" spans="1:9" s="129" customFormat="1" ht="15.75">
      <c r="A327" s="180" t="s">
        <v>470</v>
      </c>
      <c r="B327" s="311"/>
      <c r="C327" s="245" t="s">
        <v>64</v>
      </c>
      <c r="D327" s="245" t="s">
        <v>12</v>
      </c>
      <c r="E327" s="245" t="s">
        <v>529</v>
      </c>
      <c r="F327" s="245" t="s">
        <v>471</v>
      </c>
      <c r="G327" s="230">
        <v>55.5</v>
      </c>
      <c r="H327" s="230">
        <v>55</v>
      </c>
      <c r="I327" s="230">
        <f>H327</f>
        <v>55</v>
      </c>
    </row>
    <row r="328" spans="1:9" s="129" customFormat="1" ht="55.5" customHeight="1">
      <c r="A328" s="180" t="s">
        <v>674</v>
      </c>
      <c r="B328" s="311"/>
      <c r="C328" s="245" t="s">
        <v>64</v>
      </c>
      <c r="D328" s="245" t="s">
        <v>12</v>
      </c>
      <c r="E328" s="245" t="s">
        <v>675</v>
      </c>
      <c r="F328" s="245"/>
      <c r="G328" s="230">
        <f>G329</f>
        <v>2181.6999999999998</v>
      </c>
      <c r="H328" s="230">
        <f>H329</f>
        <v>0</v>
      </c>
      <c r="I328" s="230">
        <f>I329</f>
        <v>0</v>
      </c>
    </row>
    <row r="329" spans="1:9" s="129" customFormat="1" ht="39" customHeight="1">
      <c r="A329" s="180" t="s">
        <v>630</v>
      </c>
      <c r="B329" s="311"/>
      <c r="C329" s="245" t="s">
        <v>64</v>
      </c>
      <c r="D329" s="245" t="s">
        <v>12</v>
      </c>
      <c r="E329" s="245" t="s">
        <v>675</v>
      </c>
      <c r="F329" s="245" t="s">
        <v>477</v>
      </c>
      <c r="G329" s="230">
        <v>2181.6999999999998</v>
      </c>
      <c r="H329" s="230">
        <v>0</v>
      </c>
      <c r="I329" s="230">
        <v>0</v>
      </c>
    </row>
    <row r="330" spans="1:9" s="129" customFormat="1" ht="42.75" customHeight="1">
      <c r="A330" s="253" t="s">
        <v>445</v>
      </c>
      <c r="B330" s="312"/>
      <c r="C330" s="248" t="s">
        <v>64</v>
      </c>
      <c r="D330" s="248" t="s">
        <v>44</v>
      </c>
      <c r="E330" s="248"/>
      <c r="F330" s="248"/>
      <c r="G330" s="181">
        <f t="shared" ref="G330:I331" si="25">G331</f>
        <v>3461.9</v>
      </c>
      <c r="H330" s="181">
        <f t="shared" si="25"/>
        <v>3461.9</v>
      </c>
      <c r="I330" s="181">
        <f t="shared" si="25"/>
        <v>3461.9</v>
      </c>
    </row>
    <row r="331" spans="1:9" s="129" customFormat="1" ht="165.75" customHeight="1">
      <c r="A331" s="180" t="s">
        <v>941</v>
      </c>
      <c r="B331" s="311"/>
      <c r="C331" s="245" t="s">
        <v>64</v>
      </c>
      <c r="D331" s="245" t="s">
        <v>44</v>
      </c>
      <c r="E331" s="251" t="s">
        <v>595</v>
      </c>
      <c r="F331" s="245"/>
      <c r="G331" s="230">
        <f t="shared" si="25"/>
        <v>3461.9</v>
      </c>
      <c r="H331" s="230">
        <f t="shared" si="25"/>
        <v>3461.9</v>
      </c>
      <c r="I331" s="230">
        <f t="shared" si="25"/>
        <v>3461.9</v>
      </c>
    </row>
    <row r="332" spans="1:9" s="129" customFormat="1" ht="47.25" customHeight="1">
      <c r="A332" s="180" t="s">
        <v>630</v>
      </c>
      <c r="B332" s="311"/>
      <c r="C332" s="245" t="s">
        <v>64</v>
      </c>
      <c r="D332" s="245" t="s">
        <v>44</v>
      </c>
      <c r="E332" s="251" t="s">
        <v>596</v>
      </c>
      <c r="F332" s="245" t="s">
        <v>477</v>
      </c>
      <c r="G332" s="230">
        <v>3461.9</v>
      </c>
      <c r="H332" s="230">
        <v>3461.9</v>
      </c>
      <c r="I332" s="230">
        <f>H332</f>
        <v>3461.9</v>
      </c>
    </row>
    <row r="333" spans="1:9" s="129" customFormat="1" ht="20.25" customHeight="1">
      <c r="A333" s="249" t="s">
        <v>74</v>
      </c>
      <c r="B333" s="312"/>
      <c r="C333" s="248" t="s">
        <v>64</v>
      </c>
      <c r="D333" s="248" t="s">
        <v>64</v>
      </c>
      <c r="E333" s="248"/>
      <c r="F333" s="248"/>
      <c r="G333" s="181">
        <f t="shared" ref="G333:I334" si="26">G334</f>
        <v>1417.9</v>
      </c>
      <c r="H333" s="181">
        <f t="shared" si="26"/>
        <v>1426.1</v>
      </c>
      <c r="I333" s="181">
        <f t="shared" si="26"/>
        <v>1426.1</v>
      </c>
    </row>
    <row r="334" spans="1:9" s="129" customFormat="1" ht="74.25" customHeight="1">
      <c r="A334" s="180" t="s">
        <v>631</v>
      </c>
      <c r="B334" s="311"/>
      <c r="C334" s="245" t="s">
        <v>64</v>
      </c>
      <c r="D334" s="245" t="s">
        <v>64</v>
      </c>
      <c r="E334" s="251" t="s">
        <v>632</v>
      </c>
      <c r="F334" s="245"/>
      <c r="G334" s="230">
        <f t="shared" si="26"/>
        <v>1417.9</v>
      </c>
      <c r="H334" s="230">
        <f t="shared" si="26"/>
        <v>1426.1</v>
      </c>
      <c r="I334" s="230">
        <f t="shared" si="26"/>
        <v>1426.1</v>
      </c>
    </row>
    <row r="335" spans="1:9" s="129" customFormat="1" ht="39.75" customHeight="1">
      <c r="A335" s="180" t="s">
        <v>630</v>
      </c>
      <c r="B335" s="311"/>
      <c r="C335" s="245" t="s">
        <v>64</v>
      </c>
      <c r="D335" s="245" t="s">
        <v>64</v>
      </c>
      <c r="E335" s="251" t="s">
        <v>632</v>
      </c>
      <c r="F335" s="245" t="s">
        <v>477</v>
      </c>
      <c r="G335" s="230">
        <v>1417.9</v>
      </c>
      <c r="H335" s="230">
        <v>1426.1</v>
      </c>
      <c r="I335" s="230">
        <f>H335</f>
        <v>1426.1</v>
      </c>
    </row>
    <row r="336" spans="1:9" s="129" customFormat="1" ht="23.25" customHeight="1">
      <c r="A336" s="249" t="s">
        <v>75</v>
      </c>
      <c r="B336" s="312"/>
      <c r="C336" s="248" t="s">
        <v>64</v>
      </c>
      <c r="D336" s="248" t="s">
        <v>33</v>
      </c>
      <c r="E336" s="248"/>
      <c r="F336" s="248"/>
      <c r="G336" s="181">
        <f>G337+G339</f>
        <v>12459</v>
      </c>
      <c r="H336" s="181">
        <f>H337+H339</f>
        <v>12258.1</v>
      </c>
      <c r="I336" s="181">
        <f>I339</f>
        <v>12258.1</v>
      </c>
    </row>
    <row r="337" spans="1:9" s="129" customFormat="1" ht="77.25" customHeight="1">
      <c r="A337" s="180" t="s">
        <v>605</v>
      </c>
      <c r="B337" s="311"/>
      <c r="C337" s="245" t="s">
        <v>64</v>
      </c>
      <c r="D337" s="245" t="s">
        <v>33</v>
      </c>
      <c r="E337" s="245" t="s">
        <v>517</v>
      </c>
      <c r="F337" s="245"/>
      <c r="G337" s="230">
        <f>G338</f>
        <v>100</v>
      </c>
      <c r="H337" s="230">
        <f>H338</f>
        <v>0</v>
      </c>
      <c r="I337" s="230">
        <f>I338</f>
        <v>0</v>
      </c>
    </row>
    <row r="338" spans="1:9" s="129" customFormat="1" ht="31.5">
      <c r="A338" s="180" t="s">
        <v>630</v>
      </c>
      <c r="B338" s="311"/>
      <c r="C338" s="245" t="s">
        <v>64</v>
      </c>
      <c r="D338" s="245" t="s">
        <v>33</v>
      </c>
      <c r="E338" s="245" t="s">
        <v>517</v>
      </c>
      <c r="F338" s="245" t="s">
        <v>477</v>
      </c>
      <c r="G338" s="230">
        <v>100</v>
      </c>
      <c r="H338" s="230">
        <v>0</v>
      </c>
      <c r="I338" s="230">
        <v>0</v>
      </c>
    </row>
    <row r="339" spans="1:9" s="129" customFormat="1" ht="126" customHeight="1">
      <c r="A339" s="180" t="s">
        <v>942</v>
      </c>
      <c r="B339" s="311"/>
      <c r="C339" s="245" t="s">
        <v>64</v>
      </c>
      <c r="D339" s="245" t="s">
        <v>33</v>
      </c>
      <c r="E339" s="243" t="s">
        <v>542</v>
      </c>
      <c r="F339" s="245"/>
      <c r="G339" s="230">
        <f>SUM(G340:G342)</f>
        <v>12359</v>
      </c>
      <c r="H339" s="230">
        <f>SUM(H340:H342)</f>
        <v>12258.1</v>
      </c>
      <c r="I339" s="230">
        <f>SUM(I340:I342)</f>
        <v>12258.1</v>
      </c>
    </row>
    <row r="340" spans="1:9" s="129" customFormat="1" ht="108" customHeight="1">
      <c r="A340" s="180" t="s">
        <v>482</v>
      </c>
      <c r="B340" s="311"/>
      <c r="C340" s="245" t="s">
        <v>64</v>
      </c>
      <c r="D340" s="245" t="s">
        <v>33</v>
      </c>
      <c r="E340" s="243" t="s">
        <v>542</v>
      </c>
      <c r="F340" s="245" t="s">
        <v>483</v>
      </c>
      <c r="G340" s="230">
        <v>10250.4</v>
      </c>
      <c r="H340" s="230">
        <v>10341</v>
      </c>
      <c r="I340" s="230">
        <f>H340</f>
        <v>10341</v>
      </c>
    </row>
    <row r="341" spans="1:9" s="129" customFormat="1" ht="31.5">
      <c r="A341" s="180" t="s">
        <v>630</v>
      </c>
      <c r="B341" s="311"/>
      <c r="C341" s="245" t="s">
        <v>64</v>
      </c>
      <c r="D341" s="245" t="s">
        <v>33</v>
      </c>
      <c r="E341" s="243" t="s">
        <v>542</v>
      </c>
      <c r="F341" s="245" t="s">
        <v>477</v>
      </c>
      <c r="G341" s="230">
        <v>1523.2</v>
      </c>
      <c r="H341" s="230">
        <v>1305.9000000000001</v>
      </c>
      <c r="I341" s="230">
        <f>H341</f>
        <v>1305.9000000000001</v>
      </c>
    </row>
    <row r="342" spans="1:9" s="129" customFormat="1" ht="15.75">
      <c r="A342" s="180" t="s">
        <v>470</v>
      </c>
      <c r="B342" s="311"/>
      <c r="C342" s="245" t="s">
        <v>64</v>
      </c>
      <c r="D342" s="245" t="s">
        <v>33</v>
      </c>
      <c r="E342" s="243" t="s">
        <v>542</v>
      </c>
      <c r="F342" s="245" t="s">
        <v>471</v>
      </c>
      <c r="G342" s="230">
        <v>585.4</v>
      </c>
      <c r="H342" s="230">
        <v>611.20000000000005</v>
      </c>
      <c r="I342" s="230">
        <f>H342</f>
        <v>611.20000000000005</v>
      </c>
    </row>
    <row r="343" spans="1:9" s="129" customFormat="1" ht="86.25" customHeight="1">
      <c r="A343" s="249" t="s">
        <v>667</v>
      </c>
      <c r="B343" s="312">
        <v>875</v>
      </c>
      <c r="C343" s="248"/>
      <c r="D343" s="248"/>
      <c r="E343" s="248"/>
      <c r="F343" s="248"/>
      <c r="G343" s="181">
        <f>G344+G357</f>
        <v>82933.500000000015</v>
      </c>
      <c r="H343" s="181">
        <f>H344+H357</f>
        <v>87934.799999999988</v>
      </c>
      <c r="I343" s="181">
        <f>I344+I357</f>
        <v>35905.700000000004</v>
      </c>
    </row>
    <row r="344" spans="1:9" s="129" customFormat="1" ht="19.5" customHeight="1">
      <c r="A344" s="249" t="s">
        <v>63</v>
      </c>
      <c r="B344" s="312"/>
      <c r="C344" s="248" t="s">
        <v>64</v>
      </c>
      <c r="D344" s="248" t="s">
        <v>469</v>
      </c>
      <c r="E344" s="248"/>
      <c r="F344" s="248"/>
      <c r="G344" s="181">
        <f>G345</f>
        <v>1109.9000000000001</v>
      </c>
      <c r="H344" s="181">
        <f>H345</f>
        <v>1325</v>
      </c>
      <c r="I344" s="181">
        <f>I345</f>
        <v>850</v>
      </c>
    </row>
    <row r="345" spans="1:9" s="129" customFormat="1" ht="21.75" customHeight="1">
      <c r="A345" s="249" t="s">
        <v>74</v>
      </c>
      <c r="B345" s="312"/>
      <c r="C345" s="248" t="s">
        <v>64</v>
      </c>
      <c r="D345" s="248" t="s">
        <v>64</v>
      </c>
      <c r="E345" s="248"/>
      <c r="F345" s="248"/>
      <c r="G345" s="181">
        <f>G348+G352+G350+G346+G355</f>
        <v>1109.9000000000001</v>
      </c>
      <c r="H345" s="181">
        <f>H348+H352+H350+H346+H355</f>
        <v>1325</v>
      </c>
      <c r="I345" s="181">
        <f>I348+I352+I350+I346+I355</f>
        <v>850</v>
      </c>
    </row>
    <row r="346" spans="1:9" s="129" customFormat="1" ht="80.25" customHeight="1">
      <c r="A346" s="180" t="s">
        <v>604</v>
      </c>
      <c r="B346" s="311"/>
      <c r="C346" s="245" t="s">
        <v>64</v>
      </c>
      <c r="D346" s="245" t="s">
        <v>64</v>
      </c>
      <c r="E346" s="251" t="s">
        <v>519</v>
      </c>
      <c r="F346" s="245"/>
      <c r="G346" s="230">
        <f>G347</f>
        <v>130</v>
      </c>
      <c r="H346" s="230">
        <f>H347</f>
        <v>130</v>
      </c>
      <c r="I346" s="230">
        <f>I347</f>
        <v>130</v>
      </c>
    </row>
    <row r="347" spans="1:9" s="129" customFormat="1" ht="45.75" customHeight="1">
      <c r="A347" s="180" t="s">
        <v>630</v>
      </c>
      <c r="B347" s="311"/>
      <c r="C347" s="245" t="s">
        <v>64</v>
      </c>
      <c r="D347" s="245" t="s">
        <v>64</v>
      </c>
      <c r="E347" s="251" t="s">
        <v>519</v>
      </c>
      <c r="F347" s="245" t="s">
        <v>477</v>
      </c>
      <c r="G347" s="230">
        <v>130</v>
      </c>
      <c r="H347" s="230">
        <v>130</v>
      </c>
      <c r="I347" s="230">
        <f>H347</f>
        <v>130</v>
      </c>
    </row>
    <row r="348" spans="1:9" s="129" customFormat="1" ht="72.75" customHeight="1">
      <c r="A348" s="180" t="s">
        <v>605</v>
      </c>
      <c r="B348" s="311"/>
      <c r="C348" s="245" t="s">
        <v>64</v>
      </c>
      <c r="D348" s="245" t="s">
        <v>64</v>
      </c>
      <c r="E348" s="251" t="s">
        <v>517</v>
      </c>
      <c r="F348" s="245"/>
      <c r="G348" s="230">
        <f>G349</f>
        <v>50</v>
      </c>
      <c r="H348" s="230">
        <f>H349</f>
        <v>50</v>
      </c>
      <c r="I348" s="230">
        <f>I349</f>
        <v>50</v>
      </c>
    </row>
    <row r="349" spans="1:9" s="129" customFormat="1" ht="31.5">
      <c r="A349" s="180" t="s">
        <v>630</v>
      </c>
      <c r="B349" s="311"/>
      <c r="C349" s="245" t="s">
        <v>64</v>
      </c>
      <c r="D349" s="245" t="s">
        <v>64</v>
      </c>
      <c r="E349" s="251" t="s">
        <v>517</v>
      </c>
      <c r="F349" s="245" t="s">
        <v>477</v>
      </c>
      <c r="G349" s="230">
        <v>50</v>
      </c>
      <c r="H349" s="230">
        <v>50</v>
      </c>
      <c r="I349" s="230">
        <f>H349</f>
        <v>50</v>
      </c>
    </row>
    <row r="350" spans="1:9" s="129" customFormat="1" ht="77.25" customHeight="1">
      <c r="A350" s="180" t="s">
        <v>601</v>
      </c>
      <c r="B350" s="311"/>
      <c r="C350" s="245" t="s">
        <v>64</v>
      </c>
      <c r="D350" s="245" t="s">
        <v>64</v>
      </c>
      <c r="E350" s="245" t="s">
        <v>518</v>
      </c>
      <c r="F350" s="245"/>
      <c r="G350" s="230">
        <f>G351</f>
        <v>120</v>
      </c>
      <c r="H350" s="230">
        <f>H351</f>
        <v>120</v>
      </c>
      <c r="I350" s="230">
        <f>I351</f>
        <v>120</v>
      </c>
    </row>
    <row r="351" spans="1:9" s="129" customFormat="1" ht="31.5">
      <c r="A351" s="180" t="s">
        <v>630</v>
      </c>
      <c r="B351" s="311"/>
      <c r="C351" s="245" t="s">
        <v>64</v>
      </c>
      <c r="D351" s="245" t="s">
        <v>64</v>
      </c>
      <c r="E351" s="245" t="s">
        <v>518</v>
      </c>
      <c r="F351" s="245" t="s">
        <v>477</v>
      </c>
      <c r="G351" s="230">
        <v>120</v>
      </c>
      <c r="H351" s="230">
        <f>20+100</f>
        <v>120</v>
      </c>
      <c r="I351" s="230">
        <f>H351</f>
        <v>120</v>
      </c>
    </row>
    <row r="352" spans="1:9" s="129" customFormat="1" ht="120.75" customHeight="1">
      <c r="A352" s="180" t="s">
        <v>943</v>
      </c>
      <c r="B352" s="311"/>
      <c r="C352" s="245" t="s">
        <v>64</v>
      </c>
      <c r="D352" s="245" t="s">
        <v>64</v>
      </c>
      <c r="E352" s="243" t="s">
        <v>546</v>
      </c>
      <c r="F352" s="245"/>
      <c r="G352" s="230">
        <f>G353</f>
        <v>550</v>
      </c>
      <c r="H352" s="230">
        <f>H353</f>
        <v>550</v>
      </c>
      <c r="I352" s="230">
        <f>I353</f>
        <v>550</v>
      </c>
    </row>
    <row r="353" spans="1:9" s="129" customFormat="1" ht="45.75" customHeight="1">
      <c r="A353" s="180" t="s">
        <v>630</v>
      </c>
      <c r="B353" s="311"/>
      <c r="C353" s="245" t="s">
        <v>64</v>
      </c>
      <c r="D353" s="245" t="s">
        <v>64</v>
      </c>
      <c r="E353" s="243" t="s">
        <v>546</v>
      </c>
      <c r="F353" s="245" t="s">
        <v>477</v>
      </c>
      <c r="G353" s="230">
        <v>550</v>
      </c>
      <c r="H353" s="230">
        <v>550</v>
      </c>
      <c r="I353" s="230">
        <f>H353</f>
        <v>550</v>
      </c>
    </row>
    <row r="354" spans="1:9" s="129" customFormat="1" ht="72.75" customHeight="1">
      <c r="A354" s="180" t="s">
        <v>607</v>
      </c>
      <c r="B354" s="312"/>
      <c r="C354" s="245" t="s">
        <v>64</v>
      </c>
      <c r="D354" s="245" t="s">
        <v>64</v>
      </c>
      <c r="E354" s="243" t="s">
        <v>557</v>
      </c>
      <c r="F354" s="245"/>
      <c r="G354" s="230">
        <f t="shared" ref="G354:I355" si="27">G355</f>
        <v>259.89999999999998</v>
      </c>
      <c r="H354" s="230">
        <f t="shared" si="27"/>
        <v>475</v>
      </c>
      <c r="I354" s="230">
        <f t="shared" si="27"/>
        <v>0</v>
      </c>
    </row>
    <row r="355" spans="1:9" s="129" customFormat="1" ht="63">
      <c r="A355" s="180" t="s">
        <v>664</v>
      </c>
      <c r="B355" s="312"/>
      <c r="C355" s="245" t="s">
        <v>64</v>
      </c>
      <c r="D355" s="245" t="s">
        <v>64</v>
      </c>
      <c r="E355" s="243" t="s">
        <v>645</v>
      </c>
      <c r="F355" s="245"/>
      <c r="G355" s="230">
        <f t="shared" si="27"/>
        <v>259.89999999999998</v>
      </c>
      <c r="H355" s="230">
        <f t="shared" si="27"/>
        <v>475</v>
      </c>
      <c r="I355" s="230">
        <f t="shared" si="27"/>
        <v>0</v>
      </c>
    </row>
    <row r="356" spans="1:9" s="129" customFormat="1" ht="31.5">
      <c r="A356" s="180" t="s">
        <v>630</v>
      </c>
      <c r="B356" s="312"/>
      <c r="C356" s="245" t="s">
        <v>64</v>
      </c>
      <c r="D356" s="245" t="s">
        <v>64</v>
      </c>
      <c r="E356" s="243" t="s">
        <v>645</v>
      </c>
      <c r="F356" s="245" t="s">
        <v>477</v>
      </c>
      <c r="G356" s="230">
        <v>259.89999999999998</v>
      </c>
      <c r="H356" s="230">
        <v>475</v>
      </c>
      <c r="I356" s="230">
        <v>0</v>
      </c>
    </row>
    <row r="357" spans="1:9" s="129" customFormat="1" ht="26.25" customHeight="1">
      <c r="A357" s="249" t="s">
        <v>137</v>
      </c>
      <c r="B357" s="312"/>
      <c r="C357" s="248" t="s">
        <v>22</v>
      </c>
      <c r="D357" s="248" t="s">
        <v>469</v>
      </c>
      <c r="E357" s="248"/>
      <c r="F357" s="248"/>
      <c r="G357" s="181">
        <f>G358+G372+G369</f>
        <v>81823.60000000002</v>
      </c>
      <c r="H357" s="181">
        <f>H358+H372+H369</f>
        <v>86609.799999999988</v>
      </c>
      <c r="I357" s="181">
        <f>I358+I372+I369</f>
        <v>35055.700000000004</v>
      </c>
    </row>
    <row r="358" spans="1:9" s="129" customFormat="1" ht="25.5" customHeight="1">
      <c r="A358" s="249" t="s">
        <v>416</v>
      </c>
      <c r="B358" s="312"/>
      <c r="C358" s="248" t="s">
        <v>22</v>
      </c>
      <c r="D358" s="248" t="s">
        <v>10</v>
      </c>
      <c r="E358" s="248"/>
      <c r="F358" s="248"/>
      <c r="G358" s="181">
        <f>G359+G363+G365</f>
        <v>79542.800000000017</v>
      </c>
      <c r="H358" s="181">
        <f>H359+H363+H365</f>
        <v>83843.899999999994</v>
      </c>
      <c r="I358" s="181">
        <f>I359+I363+I365</f>
        <v>32289.800000000003</v>
      </c>
    </row>
    <row r="359" spans="1:9" s="129" customFormat="1" ht="151.5" customHeight="1">
      <c r="A359" s="180" t="s">
        <v>875</v>
      </c>
      <c r="B359" s="311"/>
      <c r="C359" s="245" t="s">
        <v>22</v>
      </c>
      <c r="D359" s="245" t="s">
        <v>10</v>
      </c>
      <c r="E359" s="245" t="s">
        <v>874</v>
      </c>
      <c r="F359" s="245"/>
      <c r="G359" s="230">
        <f>G360+G361+G362</f>
        <v>66031.100000000006</v>
      </c>
      <c r="H359" s="230">
        <f>H360+H361+H362</f>
        <v>67546.2</v>
      </c>
      <c r="I359" s="230">
        <f>I360+I361+I362</f>
        <v>15992.1</v>
      </c>
    </row>
    <row r="360" spans="1:9" s="129" customFormat="1" ht="105" customHeight="1">
      <c r="A360" s="180" t="s">
        <v>482</v>
      </c>
      <c r="B360" s="311"/>
      <c r="C360" s="245" t="s">
        <v>22</v>
      </c>
      <c r="D360" s="245" t="s">
        <v>10</v>
      </c>
      <c r="E360" s="245" t="s">
        <v>874</v>
      </c>
      <c r="F360" s="245" t="s">
        <v>483</v>
      </c>
      <c r="G360" s="230">
        <v>63360.800000000003</v>
      </c>
      <c r="H360" s="230">
        <v>64073.599999999999</v>
      </c>
      <c r="I360" s="230">
        <f>H360-51554.1</f>
        <v>12519.5</v>
      </c>
    </row>
    <row r="361" spans="1:9" s="129" customFormat="1" ht="44.25" customHeight="1">
      <c r="A361" s="180" t="s">
        <v>630</v>
      </c>
      <c r="B361" s="311"/>
      <c r="C361" s="245" t="s">
        <v>22</v>
      </c>
      <c r="D361" s="245" t="s">
        <v>10</v>
      </c>
      <c r="E361" s="245" t="s">
        <v>874</v>
      </c>
      <c r="F361" s="245" t="s">
        <v>477</v>
      </c>
      <c r="G361" s="230">
        <v>2197.1</v>
      </c>
      <c r="H361" s="230">
        <v>3005.4</v>
      </c>
      <c r="I361" s="230">
        <f>H361</f>
        <v>3005.4</v>
      </c>
    </row>
    <row r="362" spans="1:9" s="129" customFormat="1" ht="15.75">
      <c r="A362" s="180" t="s">
        <v>470</v>
      </c>
      <c r="B362" s="311"/>
      <c r="C362" s="245" t="s">
        <v>22</v>
      </c>
      <c r="D362" s="245" t="s">
        <v>10</v>
      </c>
      <c r="E362" s="245" t="s">
        <v>874</v>
      </c>
      <c r="F362" s="245" t="s">
        <v>471</v>
      </c>
      <c r="G362" s="230">
        <v>473.2</v>
      </c>
      <c r="H362" s="230">
        <v>467.2</v>
      </c>
      <c r="I362" s="230">
        <f>H362</f>
        <v>467.2</v>
      </c>
    </row>
    <row r="363" spans="1:9" s="129" customFormat="1" ht="170.25" customHeight="1">
      <c r="A363" s="180" t="s">
        <v>944</v>
      </c>
      <c r="B363" s="311"/>
      <c r="C363" s="245" t="s">
        <v>22</v>
      </c>
      <c r="D363" s="245" t="s">
        <v>10</v>
      </c>
      <c r="E363" s="245" t="s">
        <v>547</v>
      </c>
      <c r="F363" s="245"/>
      <c r="G363" s="230">
        <f>G364</f>
        <v>281.3</v>
      </c>
      <c r="H363" s="230">
        <f>H364</f>
        <v>300</v>
      </c>
      <c r="I363" s="230">
        <f>I364</f>
        <v>300</v>
      </c>
    </row>
    <row r="364" spans="1:9" s="129" customFormat="1" ht="38.25" customHeight="1">
      <c r="A364" s="180" t="s">
        <v>630</v>
      </c>
      <c r="B364" s="311"/>
      <c r="C364" s="245" t="s">
        <v>22</v>
      </c>
      <c r="D364" s="245" t="s">
        <v>10</v>
      </c>
      <c r="E364" s="245" t="s">
        <v>547</v>
      </c>
      <c r="F364" s="245" t="s">
        <v>477</v>
      </c>
      <c r="G364" s="230">
        <v>281.3</v>
      </c>
      <c r="H364" s="230">
        <v>300</v>
      </c>
      <c r="I364" s="230">
        <f>H364</f>
        <v>300</v>
      </c>
    </row>
    <row r="365" spans="1:9" s="129" customFormat="1" ht="39" customHeight="1">
      <c r="A365" s="180" t="s">
        <v>634</v>
      </c>
      <c r="B365" s="311"/>
      <c r="C365" s="245" t="s">
        <v>22</v>
      </c>
      <c r="D365" s="245" t="s">
        <v>10</v>
      </c>
      <c r="E365" s="245" t="s">
        <v>633</v>
      </c>
      <c r="F365" s="245"/>
      <c r="G365" s="230">
        <f>G366+G367+G368</f>
        <v>13230.400000000001</v>
      </c>
      <c r="H365" s="230">
        <f>H366+H367+H368</f>
        <v>15997.7</v>
      </c>
      <c r="I365" s="230">
        <f>I366+I367+I368</f>
        <v>15997.7</v>
      </c>
    </row>
    <row r="366" spans="1:9" s="129" customFormat="1" ht="100.5" customHeight="1">
      <c r="A366" s="180" t="s">
        <v>482</v>
      </c>
      <c r="B366" s="311"/>
      <c r="C366" s="245" t="s">
        <v>22</v>
      </c>
      <c r="D366" s="245" t="s">
        <v>10</v>
      </c>
      <c r="E366" s="245" t="s">
        <v>633</v>
      </c>
      <c r="F366" s="245" t="s">
        <v>483</v>
      </c>
      <c r="G366" s="230">
        <v>12428.2</v>
      </c>
      <c r="H366" s="230">
        <v>12629.4</v>
      </c>
      <c r="I366" s="230">
        <f>H366</f>
        <v>12629.4</v>
      </c>
    </row>
    <row r="367" spans="1:9" s="129" customFormat="1" ht="39" customHeight="1">
      <c r="A367" s="180" t="s">
        <v>630</v>
      </c>
      <c r="B367" s="311"/>
      <c r="C367" s="245" t="s">
        <v>22</v>
      </c>
      <c r="D367" s="245" t="s">
        <v>10</v>
      </c>
      <c r="E367" s="245" t="s">
        <v>633</v>
      </c>
      <c r="F367" s="245" t="s">
        <v>477</v>
      </c>
      <c r="G367" s="230">
        <v>452.2</v>
      </c>
      <c r="H367" s="230">
        <v>3106.1</v>
      </c>
      <c r="I367" s="230">
        <f>H367</f>
        <v>3106.1</v>
      </c>
    </row>
    <row r="368" spans="1:9" s="129" customFormat="1" ht="24" customHeight="1">
      <c r="A368" s="180" t="s">
        <v>470</v>
      </c>
      <c r="B368" s="311"/>
      <c r="C368" s="245" t="s">
        <v>22</v>
      </c>
      <c r="D368" s="245" t="s">
        <v>10</v>
      </c>
      <c r="E368" s="245" t="s">
        <v>633</v>
      </c>
      <c r="F368" s="245" t="s">
        <v>471</v>
      </c>
      <c r="G368" s="230">
        <v>350</v>
      </c>
      <c r="H368" s="230">
        <v>262.2</v>
      </c>
      <c r="I368" s="230">
        <f>H368</f>
        <v>262.2</v>
      </c>
    </row>
    <row r="369" spans="1:9" s="129" customFormat="1" ht="20.25" customHeight="1">
      <c r="A369" s="249" t="s">
        <v>876</v>
      </c>
      <c r="B369" s="312"/>
      <c r="C369" s="248" t="s">
        <v>22</v>
      </c>
      <c r="D369" s="248" t="s">
        <v>50</v>
      </c>
      <c r="E369" s="310"/>
      <c r="F369" s="248"/>
      <c r="G369" s="181">
        <f t="shared" ref="G369:I370" si="28">G370</f>
        <v>150</v>
      </c>
      <c r="H369" s="181">
        <f t="shared" si="28"/>
        <v>0</v>
      </c>
      <c r="I369" s="181">
        <f t="shared" si="28"/>
        <v>0</v>
      </c>
    </row>
    <row r="370" spans="1:9" s="129" customFormat="1" ht="132.75" customHeight="1">
      <c r="A370" s="180" t="s">
        <v>877</v>
      </c>
      <c r="B370" s="311"/>
      <c r="C370" s="245" t="s">
        <v>22</v>
      </c>
      <c r="D370" s="245" t="s">
        <v>50</v>
      </c>
      <c r="E370" s="251" t="s">
        <v>548</v>
      </c>
      <c r="F370" s="245"/>
      <c r="G370" s="230">
        <f t="shared" si="28"/>
        <v>150</v>
      </c>
      <c r="H370" s="230">
        <f t="shared" si="28"/>
        <v>0</v>
      </c>
      <c r="I370" s="230">
        <f t="shared" si="28"/>
        <v>0</v>
      </c>
    </row>
    <row r="371" spans="1:9" s="129" customFormat="1" ht="36" customHeight="1">
      <c r="A371" s="180" t="s">
        <v>630</v>
      </c>
      <c r="B371" s="311"/>
      <c r="C371" s="245" t="s">
        <v>22</v>
      </c>
      <c r="D371" s="245" t="s">
        <v>50</v>
      </c>
      <c r="E371" s="251" t="s">
        <v>548</v>
      </c>
      <c r="F371" s="245" t="s">
        <v>477</v>
      </c>
      <c r="G371" s="230">
        <v>150</v>
      </c>
      <c r="H371" s="230">
        <v>0</v>
      </c>
      <c r="I371" s="230">
        <v>0</v>
      </c>
    </row>
    <row r="372" spans="1:9" s="129" customFormat="1" ht="37.5" customHeight="1">
      <c r="A372" s="249" t="s">
        <v>139</v>
      </c>
      <c r="B372" s="312"/>
      <c r="C372" s="248" t="s">
        <v>22</v>
      </c>
      <c r="D372" s="248" t="s">
        <v>44</v>
      </c>
      <c r="E372" s="248"/>
      <c r="F372" s="248"/>
      <c r="G372" s="181">
        <f>G373</f>
        <v>2130.8000000000002</v>
      </c>
      <c r="H372" s="181">
        <f>H373</f>
        <v>2765.9</v>
      </c>
      <c r="I372" s="181">
        <f>I373</f>
        <v>2765.9</v>
      </c>
    </row>
    <row r="373" spans="1:9" s="129" customFormat="1" ht="136.5" customHeight="1">
      <c r="A373" s="180" t="s">
        <v>945</v>
      </c>
      <c r="B373" s="311"/>
      <c r="C373" s="245" t="s">
        <v>22</v>
      </c>
      <c r="D373" s="245" t="s">
        <v>44</v>
      </c>
      <c r="E373" s="245" t="s">
        <v>548</v>
      </c>
      <c r="F373" s="245"/>
      <c r="G373" s="230">
        <f>SUM(G374:G376)</f>
        <v>2130.8000000000002</v>
      </c>
      <c r="H373" s="230">
        <f>SUM(H374:H376)</f>
        <v>2765.9</v>
      </c>
      <c r="I373" s="230">
        <f>SUM(I374:I376)</f>
        <v>2765.9</v>
      </c>
    </row>
    <row r="374" spans="1:9" s="129" customFormat="1" ht="101.25" customHeight="1">
      <c r="A374" s="180" t="s">
        <v>482</v>
      </c>
      <c r="B374" s="311"/>
      <c r="C374" s="245" t="s">
        <v>22</v>
      </c>
      <c r="D374" s="245" t="s">
        <v>44</v>
      </c>
      <c r="E374" s="245" t="s">
        <v>548</v>
      </c>
      <c r="F374" s="245" t="s">
        <v>483</v>
      </c>
      <c r="G374" s="230">
        <v>1638.2</v>
      </c>
      <c r="H374" s="230">
        <v>1978.5</v>
      </c>
      <c r="I374" s="230">
        <f>H374</f>
        <v>1978.5</v>
      </c>
    </row>
    <row r="375" spans="1:9" s="129" customFormat="1" ht="33.75" customHeight="1">
      <c r="A375" s="180" t="s">
        <v>630</v>
      </c>
      <c r="B375" s="311"/>
      <c r="C375" s="245" t="s">
        <v>22</v>
      </c>
      <c r="D375" s="245" t="s">
        <v>44</v>
      </c>
      <c r="E375" s="245" t="s">
        <v>548</v>
      </c>
      <c r="F375" s="245" t="s">
        <v>477</v>
      </c>
      <c r="G375" s="230">
        <v>491.6</v>
      </c>
      <c r="H375" s="230">
        <v>786.4</v>
      </c>
      <c r="I375" s="230">
        <f>H375</f>
        <v>786.4</v>
      </c>
    </row>
    <row r="376" spans="1:9" s="129" customFormat="1" ht="23.25" customHeight="1">
      <c r="A376" s="180" t="s">
        <v>470</v>
      </c>
      <c r="B376" s="311"/>
      <c r="C376" s="245" t="s">
        <v>22</v>
      </c>
      <c r="D376" s="245" t="s">
        <v>44</v>
      </c>
      <c r="E376" s="245" t="s">
        <v>548</v>
      </c>
      <c r="F376" s="245" t="s">
        <v>471</v>
      </c>
      <c r="G376" s="230">
        <v>1</v>
      </c>
      <c r="H376" s="230">
        <v>1</v>
      </c>
      <c r="I376" s="230">
        <f>H376</f>
        <v>1</v>
      </c>
    </row>
    <row r="377" spans="1:9" s="129" customFormat="1" ht="57.75" customHeight="1">
      <c r="A377" s="249" t="s">
        <v>475</v>
      </c>
      <c r="B377" s="312">
        <v>892</v>
      </c>
      <c r="C377" s="248"/>
      <c r="D377" s="248"/>
      <c r="E377" s="248"/>
      <c r="F377" s="248"/>
      <c r="G377" s="181">
        <f>G378</f>
        <v>15860.3</v>
      </c>
      <c r="H377" s="181">
        <f>H378</f>
        <v>19336.199999999997</v>
      </c>
      <c r="I377" s="181">
        <f>I378</f>
        <v>19336.199999999997</v>
      </c>
    </row>
    <row r="378" spans="1:9" s="129" customFormat="1" ht="22.5" customHeight="1">
      <c r="A378" s="246" t="s">
        <v>9</v>
      </c>
      <c r="B378" s="312"/>
      <c r="C378" s="248" t="s">
        <v>10</v>
      </c>
      <c r="D378" s="248" t="s">
        <v>469</v>
      </c>
      <c r="E378" s="247"/>
      <c r="F378" s="247"/>
      <c r="G378" s="181">
        <f>G379+G384</f>
        <v>15860.3</v>
      </c>
      <c r="H378" s="181">
        <f>H379+H384</f>
        <v>19336.199999999997</v>
      </c>
      <c r="I378" s="181">
        <f>I379+I384</f>
        <v>19336.199999999997</v>
      </c>
    </row>
    <row r="379" spans="1:9" s="129" customFormat="1" ht="69.75" customHeight="1">
      <c r="A379" s="246" t="s">
        <v>133</v>
      </c>
      <c r="B379" s="312"/>
      <c r="C379" s="248" t="s">
        <v>10</v>
      </c>
      <c r="D379" s="248" t="s">
        <v>89</v>
      </c>
      <c r="E379" s="248"/>
      <c r="F379" s="248"/>
      <c r="G379" s="181">
        <f>G380</f>
        <v>13582.4</v>
      </c>
      <c r="H379" s="181">
        <f>H380</f>
        <v>14336.199999999999</v>
      </c>
      <c r="I379" s="181">
        <f>I380</f>
        <v>14336.199999999999</v>
      </c>
    </row>
    <row r="380" spans="1:9" s="129" customFormat="1" ht="136.5" customHeight="1">
      <c r="A380" s="180" t="s">
        <v>683</v>
      </c>
      <c r="B380" s="311"/>
      <c r="C380" s="245" t="s">
        <v>10</v>
      </c>
      <c r="D380" s="245" t="s">
        <v>89</v>
      </c>
      <c r="E380" s="245" t="s">
        <v>549</v>
      </c>
      <c r="F380" s="245"/>
      <c r="G380" s="230">
        <f>SUM(G381:G383)</f>
        <v>13582.4</v>
      </c>
      <c r="H380" s="230">
        <f>SUM(H381:H383)</f>
        <v>14336.199999999999</v>
      </c>
      <c r="I380" s="230">
        <f>SUM(I381:I383)</f>
        <v>14336.199999999999</v>
      </c>
    </row>
    <row r="381" spans="1:9" s="129" customFormat="1" ht="102" customHeight="1">
      <c r="A381" s="180" t="s">
        <v>482</v>
      </c>
      <c r="B381" s="311"/>
      <c r="C381" s="245" t="s">
        <v>10</v>
      </c>
      <c r="D381" s="245" t="s">
        <v>89</v>
      </c>
      <c r="E381" s="245" t="s">
        <v>549</v>
      </c>
      <c r="F381" s="245" t="s">
        <v>483</v>
      </c>
      <c r="G381" s="230">
        <v>11998.3</v>
      </c>
      <c r="H381" s="230">
        <v>12465.8</v>
      </c>
      <c r="I381" s="230">
        <f>H381</f>
        <v>12465.8</v>
      </c>
    </row>
    <row r="382" spans="1:9" s="129" customFormat="1" ht="36" customHeight="1">
      <c r="A382" s="180" t="s">
        <v>630</v>
      </c>
      <c r="B382" s="311"/>
      <c r="C382" s="245" t="s">
        <v>10</v>
      </c>
      <c r="D382" s="245" t="s">
        <v>89</v>
      </c>
      <c r="E382" s="245" t="s">
        <v>549</v>
      </c>
      <c r="F382" s="245" t="s">
        <v>477</v>
      </c>
      <c r="G382" s="230">
        <v>1577.2</v>
      </c>
      <c r="H382" s="230">
        <v>1870.4</v>
      </c>
      <c r="I382" s="230">
        <f>H382</f>
        <v>1870.4</v>
      </c>
    </row>
    <row r="383" spans="1:9" s="129" customFormat="1" ht="23.25" customHeight="1">
      <c r="A383" s="180" t="s">
        <v>470</v>
      </c>
      <c r="B383" s="311"/>
      <c r="C383" s="245" t="s">
        <v>10</v>
      </c>
      <c r="D383" s="245" t="s">
        <v>89</v>
      </c>
      <c r="E383" s="245" t="s">
        <v>549</v>
      </c>
      <c r="F383" s="245" t="s">
        <v>471</v>
      </c>
      <c r="G383" s="230">
        <v>6.9</v>
      </c>
      <c r="H383" s="230">
        <v>0</v>
      </c>
      <c r="I383" s="230">
        <f>H383</f>
        <v>0</v>
      </c>
    </row>
    <row r="384" spans="1:9" s="129" customFormat="1" ht="21.75" customHeight="1">
      <c r="A384" s="249" t="s">
        <v>23</v>
      </c>
      <c r="B384" s="312"/>
      <c r="C384" s="248" t="s">
        <v>10</v>
      </c>
      <c r="D384" s="248" t="s">
        <v>22</v>
      </c>
      <c r="E384" s="248"/>
      <c r="F384" s="248"/>
      <c r="G384" s="181">
        <f t="shared" ref="G384:I385" si="29">G385</f>
        <v>2277.9</v>
      </c>
      <c r="H384" s="181">
        <f t="shared" si="29"/>
        <v>5000</v>
      </c>
      <c r="I384" s="181">
        <f t="shared" si="29"/>
        <v>5000</v>
      </c>
    </row>
    <row r="385" spans="1:12" s="129" customFormat="1" ht="135.75" customHeight="1">
      <c r="A385" s="180" t="s">
        <v>682</v>
      </c>
      <c r="B385" s="311"/>
      <c r="C385" s="245" t="s">
        <v>10</v>
      </c>
      <c r="D385" s="245" t="s">
        <v>22</v>
      </c>
      <c r="E385" s="245" t="s">
        <v>550</v>
      </c>
      <c r="F385" s="245"/>
      <c r="G385" s="230">
        <f t="shared" si="29"/>
        <v>2277.9</v>
      </c>
      <c r="H385" s="230">
        <f t="shared" si="29"/>
        <v>5000</v>
      </c>
      <c r="I385" s="230">
        <f t="shared" si="29"/>
        <v>5000</v>
      </c>
    </row>
    <row r="386" spans="1:12" s="129" customFormat="1" ht="20.25" customHeight="1">
      <c r="A386" s="180" t="s">
        <v>470</v>
      </c>
      <c r="B386" s="311"/>
      <c r="C386" s="245" t="s">
        <v>10</v>
      </c>
      <c r="D386" s="245" t="s">
        <v>22</v>
      </c>
      <c r="E386" s="245" t="s">
        <v>550</v>
      </c>
      <c r="F386" s="245" t="s">
        <v>471</v>
      </c>
      <c r="G386" s="230">
        <v>2277.9</v>
      </c>
      <c r="H386" s="230">
        <v>5000</v>
      </c>
      <c r="I386" s="230">
        <f>H386</f>
        <v>5000</v>
      </c>
    </row>
    <row r="387" spans="1:12" s="129" customFormat="1" ht="20.25" customHeight="1">
      <c r="A387" s="249" t="s">
        <v>104</v>
      </c>
      <c r="B387" s="178"/>
      <c r="C387" s="178"/>
      <c r="D387" s="178"/>
      <c r="E387" s="178"/>
      <c r="F387" s="178"/>
      <c r="G387" s="181">
        <f>G377+G343+G283+G254+G210+G200+G193+G186+G118+G21+G16+G125</f>
        <v>4419486.8</v>
      </c>
      <c r="H387" s="181">
        <f>H377+H343+H283+H254+H210+H200+H193+H186+H118+H21+H16+H125</f>
        <v>4116750.6</v>
      </c>
      <c r="I387" s="181">
        <f>I377+I343+I283+I254+I210+I200+I193+I186+I118+I21+I16+I125</f>
        <v>3978208.6000000006</v>
      </c>
      <c r="L387" s="290"/>
    </row>
    <row r="388" spans="1:12" s="129" customFormat="1" ht="15.75">
      <c r="B388" s="63"/>
      <c r="C388" s="63"/>
      <c r="D388" s="63"/>
      <c r="E388" s="63"/>
      <c r="F388" s="63"/>
      <c r="G388" s="63"/>
      <c r="H388" s="205"/>
      <c r="I388" s="205"/>
    </row>
    <row r="389" spans="1:12" s="129" customFormat="1" ht="15.75">
      <c r="A389" s="129" t="s">
        <v>1138</v>
      </c>
      <c r="B389" s="63"/>
      <c r="C389" s="63"/>
      <c r="D389" s="63"/>
      <c r="E389" s="63"/>
      <c r="F389" s="63"/>
      <c r="G389" s="63"/>
      <c r="H389" s="205"/>
      <c r="I389" s="205"/>
    </row>
    <row r="390" spans="1:12" s="129" customFormat="1" ht="15.75">
      <c r="A390" s="129" t="s">
        <v>1139</v>
      </c>
      <c r="B390" s="63"/>
      <c r="C390" s="63"/>
      <c r="D390" s="63"/>
      <c r="E390" s="63"/>
      <c r="F390" s="63"/>
      <c r="G390" s="63"/>
      <c r="H390" s="205"/>
      <c r="I390" s="205"/>
    </row>
    <row r="391" spans="1:12" s="129" customFormat="1" ht="15.75">
      <c r="A391" s="323" t="s">
        <v>1144</v>
      </c>
      <c r="B391" s="323"/>
      <c r="C391" s="323"/>
      <c r="D391" s="323"/>
      <c r="E391" s="323"/>
      <c r="F391" s="323"/>
      <c r="G391" s="323"/>
      <c r="H391" s="323"/>
      <c r="I391" s="323"/>
    </row>
  </sheetData>
  <autoFilter ref="A15:I390"/>
  <mergeCells count="8">
    <mergeCell ref="A391:I391"/>
    <mergeCell ref="A9:I9"/>
    <mergeCell ref="A10:I10"/>
    <mergeCell ref="A13:A14"/>
    <mergeCell ref="H13:H14"/>
    <mergeCell ref="B13:F13"/>
    <mergeCell ref="I13:I14"/>
    <mergeCell ref="G13:G14"/>
  </mergeCells>
  <phoneticPr fontId="1" type="noConversion"/>
  <pageMargins left="0.59055118110236227" right="0.59055118110236227" top="1.1811023622047245" bottom="0.59055118110236227" header="0.31496062992125984" footer="0.31496062992125984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32"/>
  <sheetViews>
    <sheetView zoomScale="80" zoomScaleNormal="80" workbookViewId="0">
      <selection activeCell="J7" sqref="J7"/>
    </sheetView>
  </sheetViews>
  <sheetFormatPr defaultRowHeight="15.75"/>
  <cols>
    <col min="1" max="1" width="47.28515625" style="185" customWidth="1"/>
    <col min="2" max="3" width="12.140625" style="184" customWidth="1"/>
    <col min="4" max="4" width="13" style="172" customWidth="1"/>
    <col min="5" max="5" width="10.85546875" style="184" customWidth="1"/>
    <col min="6" max="6" width="12.5703125" style="259" customWidth="1"/>
    <col min="7" max="8" width="12.5703125" style="305" customWidth="1"/>
    <col min="9" max="16384" width="9.140625" style="184"/>
  </cols>
  <sheetData>
    <row r="1" spans="1:8">
      <c r="A1" s="182"/>
      <c r="B1" s="182"/>
      <c r="C1" s="182"/>
      <c r="D1" s="182"/>
      <c r="G1" s="267"/>
      <c r="H1" s="171" t="s">
        <v>619</v>
      </c>
    </row>
    <row r="2" spans="1:8">
      <c r="B2" s="129"/>
      <c r="C2" s="129"/>
      <c r="D2" s="129"/>
      <c r="E2" s="129"/>
      <c r="F2" s="63"/>
      <c r="G2" s="4"/>
      <c r="H2" s="168" t="s">
        <v>433</v>
      </c>
    </row>
    <row r="3" spans="1:8">
      <c r="A3" s="4"/>
      <c r="B3" s="4"/>
      <c r="C3" s="4"/>
      <c r="D3" s="4"/>
      <c r="E3" s="4"/>
      <c r="F3" s="63"/>
      <c r="G3" s="4"/>
      <c r="H3" s="15" t="s">
        <v>1119</v>
      </c>
    </row>
    <row r="4" spans="1:8">
      <c r="A4" s="184"/>
      <c r="D4" s="184"/>
      <c r="G4" s="169"/>
      <c r="H4" s="15" t="s">
        <v>1120</v>
      </c>
    </row>
    <row r="5" spans="1:8">
      <c r="A5" s="184"/>
      <c r="D5" s="184"/>
      <c r="G5" s="169"/>
      <c r="H5" s="15" t="s">
        <v>1121</v>
      </c>
    </row>
    <row r="6" spans="1:8">
      <c r="A6" s="184"/>
      <c r="D6" s="184"/>
      <c r="G6" s="169"/>
      <c r="H6" s="169" t="s">
        <v>1122</v>
      </c>
    </row>
    <row r="7" spans="1:8">
      <c r="A7" s="184"/>
      <c r="D7" s="184"/>
      <c r="G7" s="169"/>
      <c r="H7" s="321" t="s">
        <v>1157</v>
      </c>
    </row>
    <row r="8" spans="1:8">
      <c r="A8" s="184"/>
      <c r="D8" s="184"/>
      <c r="G8" s="169"/>
      <c r="H8" s="169"/>
    </row>
    <row r="9" spans="1:8">
      <c r="A9" s="337" t="s">
        <v>498</v>
      </c>
      <c r="B9" s="337"/>
      <c r="C9" s="337"/>
      <c r="D9" s="337"/>
      <c r="E9" s="337"/>
      <c r="F9" s="337"/>
      <c r="G9" s="337"/>
      <c r="H9" s="337"/>
    </row>
    <row r="10" spans="1:8">
      <c r="A10" s="337" t="s">
        <v>614</v>
      </c>
      <c r="B10" s="337"/>
      <c r="C10" s="337"/>
      <c r="D10" s="337"/>
      <c r="E10" s="337"/>
      <c r="F10" s="337"/>
      <c r="G10" s="337"/>
      <c r="H10" s="337"/>
    </row>
    <row r="11" spans="1:8">
      <c r="A11" s="337" t="s">
        <v>615</v>
      </c>
      <c r="B11" s="337"/>
      <c r="C11" s="337"/>
      <c r="D11" s="337"/>
      <c r="E11" s="337"/>
      <c r="F11" s="337"/>
      <c r="G11" s="337"/>
      <c r="H11" s="337"/>
    </row>
    <row r="12" spans="1:8">
      <c r="A12" s="338" t="s">
        <v>650</v>
      </c>
      <c r="B12" s="338"/>
      <c r="C12" s="338"/>
      <c r="D12" s="338"/>
      <c r="E12" s="338"/>
      <c r="F12" s="338"/>
      <c r="G12" s="338"/>
      <c r="H12" s="338"/>
    </row>
    <row r="13" spans="1:8">
      <c r="A13" s="337" t="s">
        <v>651</v>
      </c>
      <c r="B13" s="337"/>
      <c r="C13" s="337"/>
      <c r="D13" s="337"/>
      <c r="E13" s="337"/>
      <c r="F13" s="337"/>
      <c r="G13" s="337"/>
      <c r="H13" s="337"/>
    </row>
    <row r="14" spans="1:8">
      <c r="A14" s="337" t="s">
        <v>1118</v>
      </c>
      <c r="B14" s="337"/>
      <c r="C14" s="337"/>
      <c r="D14" s="337"/>
      <c r="E14" s="337"/>
      <c r="F14" s="337"/>
      <c r="G14" s="337"/>
      <c r="H14" s="337"/>
    </row>
    <row r="15" spans="1:8">
      <c r="A15" s="236"/>
      <c r="B15" s="236"/>
      <c r="C15" s="236"/>
      <c r="D15" s="236"/>
      <c r="E15" s="236"/>
      <c r="F15" s="288"/>
      <c r="G15" s="288"/>
      <c r="H15" s="288"/>
    </row>
    <row r="16" spans="1:8">
      <c r="A16" s="187"/>
      <c r="B16" s="187"/>
      <c r="C16" s="187"/>
      <c r="D16" s="260"/>
      <c r="E16" s="187"/>
      <c r="F16" s="187"/>
      <c r="G16" s="301"/>
      <c r="H16" s="188" t="s">
        <v>0</v>
      </c>
    </row>
    <row r="17" spans="1:8">
      <c r="A17" s="339" t="s">
        <v>2</v>
      </c>
      <c r="B17" s="326" t="s">
        <v>666</v>
      </c>
      <c r="C17" s="326"/>
      <c r="D17" s="326"/>
      <c r="E17" s="326"/>
      <c r="F17" s="334" t="s">
        <v>1040</v>
      </c>
      <c r="G17" s="334" t="s">
        <v>622</v>
      </c>
      <c r="H17" s="334" t="s">
        <v>665</v>
      </c>
    </row>
    <row r="18" spans="1:8" ht="47.25">
      <c r="A18" s="339"/>
      <c r="B18" s="178" t="s">
        <v>5</v>
      </c>
      <c r="C18" s="311" t="s">
        <v>201</v>
      </c>
      <c r="D18" s="311" t="s">
        <v>107</v>
      </c>
      <c r="E18" s="315" t="s">
        <v>672</v>
      </c>
      <c r="F18" s="334"/>
      <c r="G18" s="334"/>
      <c r="H18" s="334"/>
    </row>
    <row r="19" spans="1:8">
      <c r="A19" s="311">
        <v>1</v>
      </c>
      <c r="B19" s="178">
        <v>2</v>
      </c>
      <c r="C19" s="178">
        <v>3</v>
      </c>
      <c r="D19" s="178">
        <v>4</v>
      </c>
      <c r="E19" s="178">
        <v>5</v>
      </c>
      <c r="F19" s="178"/>
      <c r="G19" s="261">
        <v>6</v>
      </c>
      <c r="H19" s="261">
        <v>7</v>
      </c>
    </row>
    <row r="20" spans="1:8" ht="22.5" customHeight="1">
      <c r="A20" s="179" t="s">
        <v>609</v>
      </c>
      <c r="B20" s="178">
        <v>99</v>
      </c>
      <c r="C20" s="178"/>
      <c r="D20" s="178"/>
      <c r="E20" s="178"/>
      <c r="F20" s="230">
        <f t="shared" ref="F20:H22" si="0">F21</f>
        <v>0</v>
      </c>
      <c r="G20" s="230">
        <f t="shared" si="0"/>
        <v>42750</v>
      </c>
      <c r="H20" s="230">
        <f t="shared" si="0"/>
        <v>78720</v>
      </c>
    </row>
    <row r="21" spans="1:8" ht="23.25" customHeight="1">
      <c r="A21" s="179" t="s">
        <v>609</v>
      </c>
      <c r="B21" s="178">
        <v>99</v>
      </c>
      <c r="C21" s="178">
        <v>99</v>
      </c>
      <c r="D21" s="178"/>
      <c r="E21" s="178"/>
      <c r="F21" s="230">
        <f t="shared" si="0"/>
        <v>0</v>
      </c>
      <c r="G21" s="230">
        <f t="shared" si="0"/>
        <v>42750</v>
      </c>
      <c r="H21" s="230">
        <f t="shared" si="0"/>
        <v>78720</v>
      </c>
    </row>
    <row r="22" spans="1:8">
      <c r="A22" s="179" t="s">
        <v>609</v>
      </c>
      <c r="B22" s="178">
        <v>99</v>
      </c>
      <c r="C22" s="178">
        <v>99</v>
      </c>
      <c r="D22" s="245" t="s">
        <v>612</v>
      </c>
      <c r="E22" s="178"/>
      <c r="F22" s="230">
        <f t="shared" si="0"/>
        <v>0</v>
      </c>
      <c r="G22" s="230">
        <f t="shared" si="0"/>
        <v>42750</v>
      </c>
      <c r="H22" s="230">
        <f t="shared" si="0"/>
        <v>78720</v>
      </c>
    </row>
    <row r="23" spans="1:8" ht="25.5" customHeight="1">
      <c r="A23" s="180" t="s">
        <v>470</v>
      </c>
      <c r="B23" s="243" t="s">
        <v>611</v>
      </c>
      <c r="C23" s="245" t="s">
        <v>611</v>
      </c>
      <c r="D23" s="245" t="s">
        <v>612</v>
      </c>
      <c r="E23" s="178">
        <v>800</v>
      </c>
      <c r="F23" s="230">
        <f>прил.4!G20</f>
        <v>0</v>
      </c>
      <c r="G23" s="230">
        <f>прил.4!H20</f>
        <v>42750</v>
      </c>
      <c r="H23" s="230">
        <f>прил.4!I20</f>
        <v>78720</v>
      </c>
    </row>
    <row r="24" spans="1:8" ht="26.25" customHeight="1">
      <c r="A24" s="246" t="s">
        <v>9</v>
      </c>
      <c r="B24" s="248" t="s">
        <v>10</v>
      </c>
      <c r="C24" s="248" t="s">
        <v>469</v>
      </c>
      <c r="D24" s="248"/>
      <c r="E24" s="248"/>
      <c r="F24" s="181">
        <f>F25+F30+F39+F48+F51</f>
        <v>224503.59999999998</v>
      </c>
      <c r="G24" s="181">
        <f>G25+G30+G39+G48+G51</f>
        <v>252319.90000000002</v>
      </c>
      <c r="H24" s="181">
        <f>H25+H30+H39+H48+H51</f>
        <v>241026.7</v>
      </c>
    </row>
    <row r="25" spans="1:8" ht="69" customHeight="1">
      <c r="A25" s="249" t="s">
        <v>11</v>
      </c>
      <c r="B25" s="248" t="s">
        <v>10</v>
      </c>
      <c r="C25" s="248" t="s">
        <v>12</v>
      </c>
      <c r="D25" s="248"/>
      <c r="E25" s="248"/>
      <c r="F25" s="181">
        <f>F26</f>
        <v>6675.7</v>
      </c>
      <c r="G25" s="181">
        <f>G26</f>
        <v>6967.1</v>
      </c>
      <c r="H25" s="181">
        <f>H26</f>
        <v>6967.1</v>
      </c>
    </row>
    <row r="26" spans="1:8" ht="117" customHeight="1">
      <c r="A26" s="180" t="s">
        <v>494</v>
      </c>
      <c r="B26" s="245" t="s">
        <v>10</v>
      </c>
      <c r="C26" s="245" t="s">
        <v>12</v>
      </c>
      <c r="D26" s="245" t="s">
        <v>527</v>
      </c>
      <c r="E26" s="245"/>
      <c r="F26" s="230">
        <f>SUM(F27:F29)</f>
        <v>6675.7</v>
      </c>
      <c r="G26" s="230">
        <f>SUM(G27:G29)</f>
        <v>6967.1</v>
      </c>
      <c r="H26" s="230">
        <f>SUM(H27:H29)</f>
        <v>6967.1</v>
      </c>
    </row>
    <row r="27" spans="1:8" ht="102" customHeight="1">
      <c r="A27" s="180" t="s">
        <v>482</v>
      </c>
      <c r="B27" s="245" t="s">
        <v>10</v>
      </c>
      <c r="C27" s="245" t="s">
        <v>12</v>
      </c>
      <c r="D27" s="245" t="s">
        <v>527</v>
      </c>
      <c r="E27" s="245" t="s">
        <v>483</v>
      </c>
      <c r="F27" s="230">
        <f>прил.4!G197</f>
        <v>5919.8</v>
      </c>
      <c r="G27" s="230">
        <f>прил.4!H197</f>
        <v>6158.3</v>
      </c>
      <c r="H27" s="230">
        <f>прил.4!I197</f>
        <v>6158.3</v>
      </c>
    </row>
    <row r="28" spans="1:8" ht="34.5" customHeight="1">
      <c r="A28" s="180" t="s">
        <v>630</v>
      </c>
      <c r="B28" s="245" t="s">
        <v>10</v>
      </c>
      <c r="C28" s="245" t="s">
        <v>12</v>
      </c>
      <c r="D28" s="245" t="s">
        <v>527</v>
      </c>
      <c r="E28" s="245" t="s">
        <v>477</v>
      </c>
      <c r="F28" s="230">
        <f>прил.4!G198</f>
        <v>755.4</v>
      </c>
      <c r="G28" s="230">
        <f>прил.4!H198</f>
        <v>793.8</v>
      </c>
      <c r="H28" s="230">
        <f>прил.4!I198</f>
        <v>793.8</v>
      </c>
    </row>
    <row r="29" spans="1:8" ht="21.75" customHeight="1">
      <c r="A29" s="180" t="s">
        <v>470</v>
      </c>
      <c r="B29" s="245" t="s">
        <v>10</v>
      </c>
      <c r="C29" s="245" t="s">
        <v>12</v>
      </c>
      <c r="D29" s="245" t="s">
        <v>527</v>
      </c>
      <c r="E29" s="245" t="s">
        <v>471</v>
      </c>
      <c r="F29" s="230">
        <f>прил.4!G199</f>
        <v>0.5</v>
      </c>
      <c r="G29" s="230">
        <f>прил.4!H199</f>
        <v>15</v>
      </c>
      <c r="H29" s="230">
        <f>прил.4!I199</f>
        <v>15</v>
      </c>
    </row>
    <row r="30" spans="1:8" ht="85.5" customHeight="1">
      <c r="A30" s="249" t="s">
        <v>18</v>
      </c>
      <c r="B30" s="248" t="s">
        <v>10</v>
      </c>
      <c r="C30" s="248" t="s">
        <v>19</v>
      </c>
      <c r="D30" s="245"/>
      <c r="E30" s="248"/>
      <c r="F30" s="181">
        <f>F31+F34</f>
        <v>137384.9</v>
      </c>
      <c r="G30" s="181">
        <f>G31+G34</f>
        <v>145171.4</v>
      </c>
      <c r="H30" s="181">
        <f>H31+H34</f>
        <v>145171.4</v>
      </c>
    </row>
    <row r="31" spans="1:8" ht="113.25" customHeight="1">
      <c r="A31" s="180" t="s">
        <v>491</v>
      </c>
      <c r="B31" s="245" t="s">
        <v>10</v>
      </c>
      <c r="C31" s="245" t="s">
        <v>19</v>
      </c>
      <c r="D31" s="245" t="s">
        <v>500</v>
      </c>
      <c r="E31" s="245"/>
      <c r="F31" s="230">
        <f t="shared" ref="F31:H32" si="1">F32</f>
        <v>7826.6</v>
      </c>
      <c r="G31" s="230">
        <f t="shared" si="1"/>
        <v>7925.9</v>
      </c>
      <c r="H31" s="230">
        <f t="shared" si="1"/>
        <v>7925.9</v>
      </c>
    </row>
    <row r="32" spans="1:8" ht="102" customHeight="1">
      <c r="A32" s="180" t="s">
        <v>482</v>
      </c>
      <c r="B32" s="245" t="s">
        <v>10</v>
      </c>
      <c r="C32" s="245" t="s">
        <v>19</v>
      </c>
      <c r="D32" s="245" t="s">
        <v>500</v>
      </c>
      <c r="E32" s="245"/>
      <c r="F32" s="230">
        <f t="shared" si="1"/>
        <v>7826.6</v>
      </c>
      <c r="G32" s="230">
        <f t="shared" si="1"/>
        <v>7925.9</v>
      </c>
      <c r="H32" s="230">
        <f t="shared" si="1"/>
        <v>7925.9</v>
      </c>
    </row>
    <row r="33" spans="1:8" ht="102.75" customHeight="1">
      <c r="A33" s="180" t="s">
        <v>482</v>
      </c>
      <c r="B33" s="245" t="s">
        <v>10</v>
      </c>
      <c r="C33" s="245" t="s">
        <v>19</v>
      </c>
      <c r="D33" s="245" t="s">
        <v>500</v>
      </c>
      <c r="E33" s="245" t="s">
        <v>483</v>
      </c>
      <c r="F33" s="230">
        <f>прил.4!G25</f>
        <v>7826.6</v>
      </c>
      <c r="G33" s="230">
        <f>прил.4!H25</f>
        <v>7925.9</v>
      </c>
      <c r="H33" s="230">
        <f>прил.4!I25</f>
        <v>7925.9</v>
      </c>
    </row>
    <row r="34" spans="1:8" ht="31.5">
      <c r="A34" s="180" t="s">
        <v>585</v>
      </c>
      <c r="B34" s="245" t="s">
        <v>10</v>
      </c>
      <c r="C34" s="245" t="s">
        <v>19</v>
      </c>
      <c r="D34" s="245" t="s">
        <v>501</v>
      </c>
      <c r="E34" s="245"/>
      <c r="F34" s="230">
        <f>F35</f>
        <v>129558.3</v>
      </c>
      <c r="G34" s="230">
        <f>G35</f>
        <v>137245.5</v>
      </c>
      <c r="H34" s="230">
        <f>H35</f>
        <v>137245.5</v>
      </c>
    </row>
    <row r="35" spans="1:8" ht="42" customHeight="1">
      <c r="A35" s="180" t="s">
        <v>584</v>
      </c>
      <c r="B35" s="245" t="s">
        <v>10</v>
      </c>
      <c r="C35" s="245" t="s">
        <v>19</v>
      </c>
      <c r="D35" s="245" t="s">
        <v>501</v>
      </c>
      <c r="E35" s="245"/>
      <c r="F35" s="230">
        <f>SUM(F36:F38)</f>
        <v>129558.3</v>
      </c>
      <c r="G35" s="230">
        <f>SUM(G36:G38)</f>
        <v>137245.5</v>
      </c>
      <c r="H35" s="230">
        <f>SUM(H36:H38)</f>
        <v>137245.5</v>
      </c>
    </row>
    <row r="36" spans="1:8" ht="100.5" customHeight="1">
      <c r="A36" s="180" t="s">
        <v>482</v>
      </c>
      <c r="B36" s="245" t="s">
        <v>10</v>
      </c>
      <c r="C36" s="245" t="s">
        <v>19</v>
      </c>
      <c r="D36" s="245" t="s">
        <v>501</v>
      </c>
      <c r="E36" s="245" t="s">
        <v>483</v>
      </c>
      <c r="F36" s="230">
        <f>прил.4!G27</f>
        <v>103803.4</v>
      </c>
      <c r="G36" s="230">
        <f>прил.4!H27</f>
        <v>110555.3</v>
      </c>
      <c r="H36" s="230">
        <f>прил.4!I27</f>
        <v>110555.3</v>
      </c>
    </row>
    <row r="37" spans="1:8" ht="36" customHeight="1">
      <c r="A37" s="180" t="s">
        <v>630</v>
      </c>
      <c r="B37" s="245" t="s">
        <v>10</v>
      </c>
      <c r="C37" s="245" t="s">
        <v>19</v>
      </c>
      <c r="D37" s="245" t="s">
        <v>501</v>
      </c>
      <c r="E37" s="245" t="s">
        <v>477</v>
      </c>
      <c r="F37" s="230">
        <f>прил.4!G28</f>
        <v>23207.8</v>
      </c>
      <c r="G37" s="230">
        <f>прил.4!H28</f>
        <v>25090.2</v>
      </c>
      <c r="H37" s="230">
        <f>прил.4!I28</f>
        <v>25090.2</v>
      </c>
    </row>
    <row r="38" spans="1:8" ht="27" customHeight="1">
      <c r="A38" s="180" t="s">
        <v>470</v>
      </c>
      <c r="B38" s="245" t="s">
        <v>10</v>
      </c>
      <c r="C38" s="245" t="s">
        <v>19</v>
      </c>
      <c r="D38" s="245" t="s">
        <v>501</v>
      </c>
      <c r="E38" s="245" t="s">
        <v>471</v>
      </c>
      <c r="F38" s="230">
        <f>прил.4!G29</f>
        <v>2547.1</v>
      </c>
      <c r="G38" s="230">
        <f>прил.4!H29</f>
        <v>1600</v>
      </c>
      <c r="H38" s="230">
        <f>прил.4!I29</f>
        <v>1600</v>
      </c>
    </row>
    <row r="39" spans="1:8" s="189" customFormat="1" ht="66.75" customHeight="1">
      <c r="A39" s="246" t="s">
        <v>133</v>
      </c>
      <c r="B39" s="248" t="s">
        <v>10</v>
      </c>
      <c r="C39" s="248" t="s">
        <v>89</v>
      </c>
      <c r="D39" s="248"/>
      <c r="E39" s="248"/>
      <c r="F39" s="181">
        <f>F40+F44</f>
        <v>19599.8</v>
      </c>
      <c r="G39" s="181">
        <f>G40+G44</f>
        <v>20685.400000000001</v>
      </c>
      <c r="H39" s="181">
        <f>H40+H44</f>
        <v>20685.400000000001</v>
      </c>
    </row>
    <row r="40" spans="1:8" ht="130.5" customHeight="1">
      <c r="A40" s="180" t="s">
        <v>683</v>
      </c>
      <c r="B40" s="245" t="s">
        <v>10</v>
      </c>
      <c r="C40" s="245" t="s">
        <v>89</v>
      </c>
      <c r="D40" s="245" t="s">
        <v>549</v>
      </c>
      <c r="E40" s="245"/>
      <c r="F40" s="230">
        <f>SUM(F41:F43)</f>
        <v>13582.4</v>
      </c>
      <c r="G40" s="230">
        <f>SUM(G41:G43)</f>
        <v>14336.199999999999</v>
      </c>
      <c r="H40" s="230">
        <f>SUM(H41:H43)</f>
        <v>14336.199999999999</v>
      </c>
    </row>
    <row r="41" spans="1:8" ht="102.75" customHeight="1">
      <c r="A41" s="180" t="s">
        <v>482</v>
      </c>
      <c r="B41" s="245" t="s">
        <v>10</v>
      </c>
      <c r="C41" s="245" t="s">
        <v>89</v>
      </c>
      <c r="D41" s="245" t="s">
        <v>549</v>
      </c>
      <c r="E41" s="245" t="s">
        <v>483</v>
      </c>
      <c r="F41" s="230">
        <f>прил.4!G381</f>
        <v>11998.3</v>
      </c>
      <c r="G41" s="230">
        <f>прил.4!H381</f>
        <v>12465.8</v>
      </c>
      <c r="H41" s="230">
        <f>прил.4!I381</f>
        <v>12465.8</v>
      </c>
    </row>
    <row r="42" spans="1:8" ht="45.75" customHeight="1">
      <c r="A42" s="180" t="s">
        <v>630</v>
      </c>
      <c r="B42" s="245" t="s">
        <v>10</v>
      </c>
      <c r="C42" s="245" t="s">
        <v>89</v>
      </c>
      <c r="D42" s="245" t="s">
        <v>549</v>
      </c>
      <c r="E42" s="245" t="s">
        <v>477</v>
      </c>
      <c r="F42" s="230">
        <f>прил.4!G382</f>
        <v>1577.2</v>
      </c>
      <c r="G42" s="230">
        <f>прил.4!H382</f>
        <v>1870.4</v>
      </c>
      <c r="H42" s="230">
        <f>прил.4!I382</f>
        <v>1870.4</v>
      </c>
    </row>
    <row r="43" spans="1:8" ht="22.5" customHeight="1">
      <c r="A43" s="180" t="s">
        <v>470</v>
      </c>
      <c r="B43" s="245" t="s">
        <v>10</v>
      </c>
      <c r="C43" s="245" t="s">
        <v>89</v>
      </c>
      <c r="D43" s="245" t="s">
        <v>549</v>
      </c>
      <c r="E43" s="245" t="s">
        <v>471</v>
      </c>
      <c r="F43" s="230">
        <f>прил.4!G383</f>
        <v>6.9</v>
      </c>
      <c r="G43" s="230">
        <f>прил.4!H383</f>
        <v>0</v>
      </c>
      <c r="H43" s="230">
        <f>прил.4!I383</f>
        <v>0</v>
      </c>
    </row>
    <row r="44" spans="1:8" ht="114.75" customHeight="1">
      <c r="A44" s="180" t="s">
        <v>493</v>
      </c>
      <c r="B44" s="245" t="s">
        <v>10</v>
      </c>
      <c r="C44" s="245" t="s">
        <v>89</v>
      </c>
      <c r="D44" s="245" t="s">
        <v>523</v>
      </c>
      <c r="E44" s="245"/>
      <c r="F44" s="230">
        <f>F45+F46+F47</f>
        <v>6017.4000000000005</v>
      </c>
      <c r="G44" s="230">
        <f>G45+G46+G47</f>
        <v>6349.2000000000007</v>
      </c>
      <c r="H44" s="230">
        <f>H45+H46+H47</f>
        <v>6349.2000000000007</v>
      </c>
    </row>
    <row r="45" spans="1:8" ht="94.5">
      <c r="A45" s="180" t="s">
        <v>482</v>
      </c>
      <c r="B45" s="245" t="s">
        <v>10</v>
      </c>
      <c r="C45" s="245" t="s">
        <v>89</v>
      </c>
      <c r="D45" s="245" t="s">
        <v>523</v>
      </c>
      <c r="E45" s="245" t="s">
        <v>483</v>
      </c>
      <c r="F45" s="230">
        <f>прил.4!G122</f>
        <v>5443.7</v>
      </c>
      <c r="G45" s="230">
        <f>прил.4!H122</f>
        <v>5431.6</v>
      </c>
      <c r="H45" s="230">
        <f>прил.4!I122</f>
        <v>5431.6</v>
      </c>
    </row>
    <row r="46" spans="1:8" ht="31.5">
      <c r="A46" s="180" t="s">
        <v>630</v>
      </c>
      <c r="B46" s="245" t="s">
        <v>10</v>
      </c>
      <c r="C46" s="245" t="s">
        <v>89</v>
      </c>
      <c r="D46" s="245" t="s">
        <v>523</v>
      </c>
      <c r="E46" s="245" t="s">
        <v>477</v>
      </c>
      <c r="F46" s="230">
        <f>прил.4!G123</f>
        <v>553.6</v>
      </c>
      <c r="G46" s="230">
        <f>прил.4!H123</f>
        <v>898.6</v>
      </c>
      <c r="H46" s="230">
        <f>прил.4!I123</f>
        <v>898.6</v>
      </c>
    </row>
    <row r="47" spans="1:8">
      <c r="A47" s="180" t="s">
        <v>470</v>
      </c>
      <c r="B47" s="245" t="s">
        <v>10</v>
      </c>
      <c r="C47" s="245" t="s">
        <v>89</v>
      </c>
      <c r="D47" s="245" t="s">
        <v>523</v>
      </c>
      <c r="E47" s="245" t="s">
        <v>471</v>
      </c>
      <c r="F47" s="230">
        <f>прил.4!G124</f>
        <v>20.100000000000001</v>
      </c>
      <c r="G47" s="230">
        <f>прил.4!H124</f>
        <v>19</v>
      </c>
      <c r="H47" s="230">
        <f>прил.4!I124</f>
        <v>19</v>
      </c>
    </row>
    <row r="48" spans="1:8">
      <c r="A48" s="249" t="s">
        <v>23</v>
      </c>
      <c r="B48" s="248" t="s">
        <v>10</v>
      </c>
      <c r="C48" s="248" t="s">
        <v>22</v>
      </c>
      <c r="D48" s="248"/>
      <c r="E48" s="248"/>
      <c r="F48" s="181">
        <f t="shared" ref="F48:H49" si="2">F49</f>
        <v>2277.9</v>
      </c>
      <c r="G48" s="181">
        <f t="shared" si="2"/>
        <v>5000</v>
      </c>
      <c r="H48" s="181">
        <f t="shared" si="2"/>
        <v>5000</v>
      </c>
    </row>
    <row r="49" spans="1:8" ht="133.5" customHeight="1">
      <c r="A49" s="180" t="s">
        <v>682</v>
      </c>
      <c r="B49" s="245" t="s">
        <v>10</v>
      </c>
      <c r="C49" s="245" t="s">
        <v>22</v>
      </c>
      <c r="D49" s="245" t="s">
        <v>550</v>
      </c>
      <c r="E49" s="245"/>
      <c r="F49" s="230">
        <f t="shared" si="2"/>
        <v>2277.9</v>
      </c>
      <c r="G49" s="230">
        <f t="shared" si="2"/>
        <v>5000</v>
      </c>
      <c r="H49" s="230">
        <f t="shared" si="2"/>
        <v>5000</v>
      </c>
    </row>
    <row r="50" spans="1:8">
      <c r="A50" s="180" t="s">
        <v>470</v>
      </c>
      <c r="B50" s="245" t="s">
        <v>10</v>
      </c>
      <c r="C50" s="245" t="s">
        <v>22</v>
      </c>
      <c r="D50" s="245" t="s">
        <v>550</v>
      </c>
      <c r="E50" s="245" t="s">
        <v>471</v>
      </c>
      <c r="F50" s="230">
        <f>прил.4!G386</f>
        <v>2277.9</v>
      </c>
      <c r="G50" s="230">
        <f>прил.4!H386</f>
        <v>5000</v>
      </c>
      <c r="H50" s="230">
        <f>прил.4!I386</f>
        <v>5000</v>
      </c>
    </row>
    <row r="51" spans="1:8" ht="22.5" customHeight="1">
      <c r="A51" s="246" t="s">
        <v>28</v>
      </c>
      <c r="B51" s="248" t="s">
        <v>10</v>
      </c>
      <c r="C51" s="248" t="s">
        <v>154</v>
      </c>
      <c r="D51" s="248"/>
      <c r="E51" s="248"/>
      <c r="F51" s="181">
        <f>F70+F72+F74+F78+F80+F84+F63+F61+F58+F55+F88+F82+F67+F52+F90</f>
        <v>58565.3</v>
      </c>
      <c r="G51" s="181">
        <f>G70+G72+G74+G78+G80+G84+G63+G61+G58+G55+G88+G82+G67+G52+G90</f>
        <v>74496.000000000015</v>
      </c>
      <c r="H51" s="181">
        <f>H70+H72+H74+H78+H80+H84+H63+H61+H58+H55+H88+H82+H67+H52+H90</f>
        <v>63202.8</v>
      </c>
    </row>
    <row r="52" spans="1:8" ht="55.5" customHeight="1">
      <c r="A52" s="180" t="s">
        <v>895</v>
      </c>
      <c r="B52" s="245" t="s">
        <v>10</v>
      </c>
      <c r="C52" s="245" t="s">
        <v>154</v>
      </c>
      <c r="D52" s="245" t="s">
        <v>517</v>
      </c>
      <c r="E52" s="248"/>
      <c r="F52" s="181">
        <f t="shared" ref="F52:H53" si="3">F53</f>
        <v>0</v>
      </c>
      <c r="G52" s="230">
        <f t="shared" si="3"/>
        <v>150</v>
      </c>
      <c r="H52" s="230">
        <f t="shared" si="3"/>
        <v>150</v>
      </c>
    </row>
    <row r="53" spans="1:8" ht="69.75" customHeight="1">
      <c r="A53" s="180" t="s">
        <v>605</v>
      </c>
      <c r="B53" s="245" t="s">
        <v>10</v>
      </c>
      <c r="C53" s="245" t="s">
        <v>154</v>
      </c>
      <c r="D53" s="245" t="s">
        <v>517</v>
      </c>
      <c r="E53" s="245"/>
      <c r="F53" s="230">
        <f t="shared" si="3"/>
        <v>0</v>
      </c>
      <c r="G53" s="230">
        <f t="shared" si="3"/>
        <v>150</v>
      </c>
      <c r="H53" s="230">
        <f t="shared" si="3"/>
        <v>150</v>
      </c>
    </row>
    <row r="54" spans="1:8" ht="38.25" customHeight="1">
      <c r="A54" s="180" t="s">
        <v>630</v>
      </c>
      <c r="B54" s="245" t="s">
        <v>10</v>
      </c>
      <c r="C54" s="245" t="s">
        <v>154</v>
      </c>
      <c r="D54" s="245" t="s">
        <v>517</v>
      </c>
      <c r="E54" s="245" t="s">
        <v>477</v>
      </c>
      <c r="F54" s="230">
        <f>прил.4!G33</f>
        <v>0</v>
      </c>
      <c r="G54" s="230">
        <f>прил.4!H33</f>
        <v>150</v>
      </c>
      <c r="H54" s="230">
        <f>прил.4!I33</f>
        <v>150</v>
      </c>
    </row>
    <row r="55" spans="1:8" ht="54.75" customHeight="1">
      <c r="A55" s="180" t="s">
        <v>623</v>
      </c>
      <c r="B55" s="245" t="s">
        <v>10</v>
      </c>
      <c r="C55" s="245" t="s">
        <v>154</v>
      </c>
      <c r="D55" s="245" t="s">
        <v>624</v>
      </c>
      <c r="E55" s="248"/>
      <c r="F55" s="181">
        <f t="shared" ref="F55:H56" si="4">F56</f>
        <v>10</v>
      </c>
      <c r="G55" s="230">
        <f t="shared" si="4"/>
        <v>10</v>
      </c>
      <c r="H55" s="230">
        <f t="shared" si="4"/>
        <v>10</v>
      </c>
    </row>
    <row r="56" spans="1:8" ht="63">
      <c r="A56" s="180" t="s">
        <v>601</v>
      </c>
      <c r="B56" s="245" t="s">
        <v>10</v>
      </c>
      <c r="C56" s="245" t="s">
        <v>154</v>
      </c>
      <c r="D56" s="245" t="s">
        <v>518</v>
      </c>
      <c r="E56" s="245"/>
      <c r="F56" s="230">
        <f t="shared" si="4"/>
        <v>10</v>
      </c>
      <c r="G56" s="230">
        <f t="shared" si="4"/>
        <v>10</v>
      </c>
      <c r="H56" s="230">
        <f t="shared" si="4"/>
        <v>10</v>
      </c>
    </row>
    <row r="57" spans="1:8" ht="31.5">
      <c r="A57" s="180" t="s">
        <v>630</v>
      </c>
      <c r="B57" s="245" t="s">
        <v>10</v>
      </c>
      <c r="C57" s="245" t="s">
        <v>154</v>
      </c>
      <c r="D57" s="245" t="s">
        <v>518</v>
      </c>
      <c r="E57" s="245" t="s">
        <v>477</v>
      </c>
      <c r="F57" s="230">
        <f>прил.4!G36</f>
        <v>10</v>
      </c>
      <c r="G57" s="230">
        <f>прил.4!H36</f>
        <v>10</v>
      </c>
      <c r="H57" s="230">
        <f>прил.4!I36</f>
        <v>10</v>
      </c>
    </row>
    <row r="58" spans="1:8" ht="69" customHeight="1">
      <c r="A58" s="180" t="s">
        <v>607</v>
      </c>
      <c r="B58" s="245" t="s">
        <v>10</v>
      </c>
      <c r="C58" s="245" t="s">
        <v>154</v>
      </c>
      <c r="D58" s="243" t="s">
        <v>557</v>
      </c>
      <c r="E58" s="245"/>
      <c r="F58" s="230">
        <f t="shared" ref="F58:H59" si="5">F59</f>
        <v>277.10000000000002</v>
      </c>
      <c r="G58" s="230">
        <f t="shared" si="5"/>
        <v>134.1</v>
      </c>
      <c r="H58" s="230">
        <f t="shared" si="5"/>
        <v>0</v>
      </c>
    </row>
    <row r="59" spans="1:8" ht="69.75" customHeight="1">
      <c r="A59" s="180" t="s">
        <v>664</v>
      </c>
      <c r="B59" s="245" t="s">
        <v>10</v>
      </c>
      <c r="C59" s="245" t="s">
        <v>154</v>
      </c>
      <c r="D59" s="243" t="s">
        <v>645</v>
      </c>
      <c r="E59" s="245"/>
      <c r="F59" s="230">
        <f t="shared" si="5"/>
        <v>277.10000000000002</v>
      </c>
      <c r="G59" s="230">
        <f t="shared" si="5"/>
        <v>134.1</v>
      </c>
      <c r="H59" s="230">
        <f t="shared" si="5"/>
        <v>0</v>
      </c>
    </row>
    <row r="60" spans="1:8" ht="37.5" customHeight="1">
      <c r="A60" s="180" t="s">
        <v>630</v>
      </c>
      <c r="B60" s="245" t="s">
        <v>10</v>
      </c>
      <c r="C60" s="245" t="s">
        <v>154</v>
      </c>
      <c r="D60" s="243" t="s">
        <v>645</v>
      </c>
      <c r="E60" s="245" t="s">
        <v>477</v>
      </c>
      <c r="F60" s="230">
        <f>прил.4!G39</f>
        <v>277.10000000000002</v>
      </c>
      <c r="G60" s="230">
        <f>прил.4!H39</f>
        <v>134.1</v>
      </c>
      <c r="H60" s="230">
        <f>прил.4!I39</f>
        <v>0</v>
      </c>
    </row>
    <row r="61" spans="1:8" ht="57" customHeight="1">
      <c r="A61" s="177" t="s">
        <v>905</v>
      </c>
      <c r="B61" s="245" t="s">
        <v>10</v>
      </c>
      <c r="C61" s="245" t="s">
        <v>154</v>
      </c>
      <c r="D61" s="251" t="s">
        <v>597</v>
      </c>
      <c r="E61" s="245"/>
      <c r="F61" s="230">
        <f>F62</f>
        <v>100</v>
      </c>
      <c r="G61" s="230">
        <f>G62</f>
        <v>100</v>
      </c>
      <c r="H61" s="230">
        <f>H62</f>
        <v>100</v>
      </c>
    </row>
    <row r="62" spans="1:8" ht="39.75" customHeight="1">
      <c r="A62" s="180" t="s">
        <v>478</v>
      </c>
      <c r="B62" s="245" t="s">
        <v>10</v>
      </c>
      <c r="C62" s="245" t="s">
        <v>154</v>
      </c>
      <c r="D62" s="251" t="s">
        <v>597</v>
      </c>
      <c r="E62" s="245" t="s">
        <v>168</v>
      </c>
      <c r="F62" s="230">
        <f>прил.4!G42</f>
        <v>100</v>
      </c>
      <c r="G62" s="230">
        <f>прил.4!H42</f>
        <v>100</v>
      </c>
      <c r="H62" s="230">
        <f>прил.4!I42</f>
        <v>100</v>
      </c>
    </row>
    <row r="63" spans="1:8" ht="117" customHeight="1">
      <c r="A63" s="180" t="s">
        <v>647</v>
      </c>
      <c r="B63" s="245" t="s">
        <v>10</v>
      </c>
      <c r="C63" s="245" t="s">
        <v>154</v>
      </c>
      <c r="D63" s="243" t="s">
        <v>528</v>
      </c>
      <c r="E63" s="248"/>
      <c r="F63" s="181">
        <f>F64+F65+F66</f>
        <v>13775.2</v>
      </c>
      <c r="G63" s="230">
        <f>G64+G65+G66</f>
        <v>14793.5</v>
      </c>
      <c r="H63" s="230">
        <f>H64+H65+H66</f>
        <v>14793.5</v>
      </c>
    </row>
    <row r="64" spans="1:8" ht="102.75" customHeight="1">
      <c r="A64" s="180" t="s">
        <v>482</v>
      </c>
      <c r="B64" s="245" t="s">
        <v>10</v>
      </c>
      <c r="C64" s="245" t="s">
        <v>154</v>
      </c>
      <c r="D64" s="243" t="s">
        <v>528</v>
      </c>
      <c r="E64" s="245" t="s">
        <v>483</v>
      </c>
      <c r="F64" s="230">
        <f>прил.4!G204</f>
        <v>11787.6</v>
      </c>
      <c r="G64" s="230">
        <f>прил.4!H204</f>
        <v>12636.1</v>
      </c>
      <c r="H64" s="230">
        <f>прил.4!I204</f>
        <v>12636.1</v>
      </c>
    </row>
    <row r="65" spans="1:8" ht="38.25" customHeight="1">
      <c r="A65" s="180" t="s">
        <v>630</v>
      </c>
      <c r="B65" s="245" t="s">
        <v>10</v>
      </c>
      <c r="C65" s="245" t="s">
        <v>154</v>
      </c>
      <c r="D65" s="243" t="s">
        <v>528</v>
      </c>
      <c r="E65" s="245" t="s">
        <v>477</v>
      </c>
      <c r="F65" s="230">
        <f>прил.4!G205</f>
        <v>1955.6</v>
      </c>
      <c r="G65" s="230">
        <f>прил.4!H205</f>
        <v>2109.4</v>
      </c>
      <c r="H65" s="230">
        <f>прил.4!I205</f>
        <v>2109.4</v>
      </c>
    </row>
    <row r="66" spans="1:8" ht="24" customHeight="1">
      <c r="A66" s="180" t="s">
        <v>470</v>
      </c>
      <c r="B66" s="245" t="s">
        <v>10</v>
      </c>
      <c r="C66" s="245" t="s">
        <v>154</v>
      </c>
      <c r="D66" s="243" t="s">
        <v>528</v>
      </c>
      <c r="E66" s="245" t="s">
        <v>471</v>
      </c>
      <c r="F66" s="230">
        <f>прил.4!G206</f>
        <v>32</v>
      </c>
      <c r="G66" s="230">
        <f>прил.4!H206</f>
        <v>48</v>
      </c>
      <c r="H66" s="230">
        <f>прил.4!I206</f>
        <v>48</v>
      </c>
    </row>
    <row r="67" spans="1:8" s="129" customFormat="1" ht="74.25" customHeight="1">
      <c r="A67" s="180" t="s">
        <v>620</v>
      </c>
      <c r="B67" s="245" t="s">
        <v>10</v>
      </c>
      <c r="C67" s="245" t="s">
        <v>154</v>
      </c>
      <c r="D67" s="245" t="s">
        <v>587</v>
      </c>
      <c r="E67" s="248"/>
      <c r="F67" s="181">
        <f t="shared" ref="F67:H68" si="6">F68</f>
        <v>0</v>
      </c>
      <c r="G67" s="230">
        <f t="shared" si="6"/>
        <v>1200</v>
      </c>
      <c r="H67" s="230">
        <f t="shared" si="6"/>
        <v>0</v>
      </c>
    </row>
    <row r="68" spans="1:8" s="129" customFormat="1" ht="117.75" customHeight="1">
      <c r="A68" s="180" t="s">
        <v>646</v>
      </c>
      <c r="B68" s="245" t="s">
        <v>10</v>
      </c>
      <c r="C68" s="245" t="s">
        <v>154</v>
      </c>
      <c r="D68" s="245" t="s">
        <v>509</v>
      </c>
      <c r="E68" s="248"/>
      <c r="F68" s="181">
        <f t="shared" si="6"/>
        <v>0</v>
      </c>
      <c r="G68" s="230">
        <f t="shared" si="6"/>
        <v>1200</v>
      </c>
      <c r="H68" s="230">
        <f t="shared" si="6"/>
        <v>0</v>
      </c>
    </row>
    <row r="69" spans="1:8" s="129" customFormat="1" ht="38.25" customHeight="1">
      <c r="A69" s="180" t="s">
        <v>630</v>
      </c>
      <c r="B69" s="245" t="s">
        <v>10</v>
      </c>
      <c r="C69" s="245" t="s">
        <v>154</v>
      </c>
      <c r="D69" s="245" t="s">
        <v>509</v>
      </c>
      <c r="E69" s="245" t="s">
        <v>477</v>
      </c>
      <c r="F69" s="230">
        <f>прил.4!G209</f>
        <v>0</v>
      </c>
      <c r="G69" s="230">
        <f>прил.4!H209</f>
        <v>1200</v>
      </c>
      <c r="H69" s="230">
        <f>прил.4!I209</f>
        <v>0</v>
      </c>
    </row>
    <row r="70" spans="1:8" ht="116.25" customHeight="1">
      <c r="A70" s="180" t="s">
        <v>938</v>
      </c>
      <c r="B70" s="245" t="s">
        <v>10</v>
      </c>
      <c r="C70" s="245" t="s">
        <v>154</v>
      </c>
      <c r="D70" s="245" t="s">
        <v>535</v>
      </c>
      <c r="E70" s="245"/>
      <c r="F70" s="230">
        <f>F71</f>
        <v>3572</v>
      </c>
      <c r="G70" s="230">
        <f>G71</f>
        <v>3000</v>
      </c>
      <c r="H70" s="230">
        <f>H71</f>
        <v>3000</v>
      </c>
    </row>
    <row r="71" spans="1:8" ht="37.5" customHeight="1">
      <c r="A71" s="180" t="s">
        <v>630</v>
      </c>
      <c r="B71" s="245" t="s">
        <v>10</v>
      </c>
      <c r="C71" s="245" t="s">
        <v>154</v>
      </c>
      <c r="D71" s="245" t="s">
        <v>535</v>
      </c>
      <c r="E71" s="245" t="s">
        <v>477</v>
      </c>
      <c r="F71" s="230">
        <f>прил.4!G258</f>
        <v>3572</v>
      </c>
      <c r="G71" s="230">
        <f>прил.4!H258</f>
        <v>3000</v>
      </c>
      <c r="H71" s="230">
        <f>прил.4!I258</f>
        <v>3000</v>
      </c>
    </row>
    <row r="72" spans="1:8" ht="118.5" customHeight="1">
      <c r="A72" s="180" t="s">
        <v>938</v>
      </c>
      <c r="B72" s="245" t="s">
        <v>10</v>
      </c>
      <c r="C72" s="245" t="s">
        <v>154</v>
      </c>
      <c r="D72" s="245" t="s">
        <v>502</v>
      </c>
      <c r="E72" s="245"/>
      <c r="F72" s="230">
        <f>F73</f>
        <v>6260.4</v>
      </c>
      <c r="G72" s="230">
        <f>G73</f>
        <v>15000</v>
      </c>
      <c r="H72" s="230">
        <f>H73</f>
        <v>5000</v>
      </c>
    </row>
    <row r="73" spans="1:8" ht="37.5" customHeight="1">
      <c r="A73" s="180" t="s">
        <v>630</v>
      </c>
      <c r="B73" s="245" t="s">
        <v>10</v>
      </c>
      <c r="C73" s="245" t="s">
        <v>154</v>
      </c>
      <c r="D73" s="245" t="s">
        <v>502</v>
      </c>
      <c r="E73" s="245" t="s">
        <v>477</v>
      </c>
      <c r="F73" s="230">
        <f>прил.4!G260</f>
        <v>6260.4</v>
      </c>
      <c r="G73" s="230">
        <f>прил.4!H260</f>
        <v>15000</v>
      </c>
      <c r="H73" s="230">
        <f>прил.4!I260</f>
        <v>5000</v>
      </c>
    </row>
    <row r="74" spans="1:8" ht="130.5" customHeight="1">
      <c r="A74" s="180" t="s">
        <v>946</v>
      </c>
      <c r="B74" s="243" t="s">
        <v>10</v>
      </c>
      <c r="C74" s="245" t="s">
        <v>154</v>
      </c>
      <c r="D74" s="243" t="s">
        <v>503</v>
      </c>
      <c r="E74" s="245"/>
      <c r="F74" s="230">
        <f>F75+F76+F77</f>
        <v>18318.2</v>
      </c>
      <c r="G74" s="230">
        <f>G75+G76+G77</f>
        <v>24921.8</v>
      </c>
      <c r="H74" s="230">
        <f>H75+H76+H77</f>
        <v>24921.8</v>
      </c>
    </row>
    <row r="75" spans="1:8" ht="99" customHeight="1">
      <c r="A75" s="180" t="s">
        <v>482</v>
      </c>
      <c r="B75" s="243" t="s">
        <v>10</v>
      </c>
      <c r="C75" s="245" t="s">
        <v>154</v>
      </c>
      <c r="D75" s="243" t="s">
        <v>503</v>
      </c>
      <c r="E75" s="245" t="s">
        <v>483</v>
      </c>
      <c r="F75" s="230">
        <f>прил.4!G262</f>
        <v>13938.7</v>
      </c>
      <c r="G75" s="230">
        <f>прил.4!H262</f>
        <v>13750.5</v>
      </c>
      <c r="H75" s="230">
        <f>прил.4!I262</f>
        <v>13750.5</v>
      </c>
    </row>
    <row r="76" spans="1:8" ht="39.75" customHeight="1">
      <c r="A76" s="180" t="s">
        <v>630</v>
      </c>
      <c r="B76" s="243" t="s">
        <v>10</v>
      </c>
      <c r="C76" s="245" t="s">
        <v>154</v>
      </c>
      <c r="D76" s="243" t="s">
        <v>503</v>
      </c>
      <c r="E76" s="245" t="s">
        <v>477</v>
      </c>
      <c r="F76" s="230">
        <f>прил.4!G263</f>
        <v>3968.4</v>
      </c>
      <c r="G76" s="230">
        <f>прил.4!H263</f>
        <v>11095.3</v>
      </c>
      <c r="H76" s="230">
        <f>прил.4!I263</f>
        <v>11095.3</v>
      </c>
    </row>
    <row r="77" spans="1:8" ht="22.5" customHeight="1">
      <c r="A77" s="180" t="s">
        <v>470</v>
      </c>
      <c r="B77" s="243" t="s">
        <v>10</v>
      </c>
      <c r="C77" s="245" t="s">
        <v>154</v>
      </c>
      <c r="D77" s="243" t="s">
        <v>503</v>
      </c>
      <c r="E77" s="245" t="s">
        <v>471</v>
      </c>
      <c r="F77" s="230">
        <f>прил.4!G264</f>
        <v>411.1</v>
      </c>
      <c r="G77" s="230">
        <f>прил.4!H264</f>
        <v>76</v>
      </c>
      <c r="H77" s="230">
        <f>прил.4!I264</f>
        <v>76</v>
      </c>
    </row>
    <row r="78" spans="1:8" ht="69" customHeight="1">
      <c r="A78" s="180" t="s">
        <v>488</v>
      </c>
      <c r="B78" s="243" t="s">
        <v>10</v>
      </c>
      <c r="C78" s="245" t="s">
        <v>154</v>
      </c>
      <c r="D78" s="245" t="s">
        <v>504</v>
      </c>
      <c r="E78" s="245"/>
      <c r="F78" s="230">
        <f>F79</f>
        <v>192</v>
      </c>
      <c r="G78" s="230">
        <f>G79</f>
        <v>192</v>
      </c>
      <c r="H78" s="230">
        <f>H79</f>
        <v>192</v>
      </c>
    </row>
    <row r="79" spans="1:8" ht="31.5">
      <c r="A79" s="180" t="s">
        <v>479</v>
      </c>
      <c r="B79" s="243" t="s">
        <v>10</v>
      </c>
      <c r="C79" s="245" t="s">
        <v>154</v>
      </c>
      <c r="D79" s="245" t="s">
        <v>504</v>
      </c>
      <c r="E79" s="178">
        <v>300</v>
      </c>
      <c r="F79" s="230">
        <f>прил.4!G44</f>
        <v>192</v>
      </c>
      <c r="G79" s="230">
        <f>прил.4!H44</f>
        <v>192</v>
      </c>
      <c r="H79" s="230">
        <f>прил.4!I44</f>
        <v>192</v>
      </c>
    </row>
    <row r="80" spans="1:8" ht="31.5">
      <c r="A80" s="180" t="s">
        <v>526</v>
      </c>
      <c r="B80" s="243" t="s">
        <v>10</v>
      </c>
      <c r="C80" s="245" t="s">
        <v>154</v>
      </c>
      <c r="D80" s="245" t="s">
        <v>525</v>
      </c>
      <c r="E80" s="178"/>
      <c r="F80" s="230">
        <f>F81</f>
        <v>1525.9</v>
      </c>
      <c r="G80" s="230">
        <f>G81</f>
        <v>1275.9000000000001</v>
      </c>
      <c r="H80" s="230">
        <f>H81</f>
        <v>1275.9000000000001</v>
      </c>
    </row>
    <row r="81" spans="1:8" ht="25.5" customHeight="1">
      <c r="A81" s="180" t="s">
        <v>470</v>
      </c>
      <c r="B81" s="243" t="s">
        <v>10</v>
      </c>
      <c r="C81" s="245" t="s">
        <v>154</v>
      </c>
      <c r="D81" s="245" t="s">
        <v>525</v>
      </c>
      <c r="E81" s="178">
        <v>800</v>
      </c>
      <c r="F81" s="230">
        <f>прил.4!G46</f>
        <v>1525.9</v>
      </c>
      <c r="G81" s="230">
        <f>прил.4!H46</f>
        <v>1275.9000000000001</v>
      </c>
      <c r="H81" s="230">
        <f>прил.4!I46</f>
        <v>1275.9000000000001</v>
      </c>
    </row>
    <row r="82" spans="1:8" s="129" customFormat="1" ht="51" customHeight="1">
      <c r="A82" s="177" t="s">
        <v>863</v>
      </c>
      <c r="B82" s="243" t="s">
        <v>10</v>
      </c>
      <c r="C82" s="245" t="s">
        <v>154</v>
      </c>
      <c r="D82" s="245" t="s">
        <v>501</v>
      </c>
      <c r="E82" s="178"/>
      <c r="F82" s="230">
        <f>прил.4!G47</f>
        <v>936.6</v>
      </c>
      <c r="G82" s="230">
        <f>прил.4!H47</f>
        <v>0</v>
      </c>
      <c r="H82" s="230">
        <f>прил.4!I47</f>
        <v>0</v>
      </c>
    </row>
    <row r="83" spans="1:8" s="129" customFormat="1">
      <c r="A83" s="180" t="s">
        <v>470</v>
      </c>
      <c r="B83" s="243" t="s">
        <v>10</v>
      </c>
      <c r="C83" s="245" t="s">
        <v>154</v>
      </c>
      <c r="D83" s="245" t="s">
        <v>501</v>
      </c>
      <c r="E83" s="178">
        <v>800</v>
      </c>
      <c r="F83" s="230">
        <f>прил.4!G48</f>
        <v>936.6</v>
      </c>
      <c r="G83" s="230">
        <f>прил.4!H48</f>
        <v>0</v>
      </c>
      <c r="H83" s="230">
        <f>прил.4!I48</f>
        <v>0</v>
      </c>
    </row>
    <row r="84" spans="1:8" ht="89.25" customHeight="1">
      <c r="A84" s="180" t="s">
        <v>468</v>
      </c>
      <c r="B84" s="245" t="s">
        <v>10</v>
      </c>
      <c r="C84" s="245" t="s">
        <v>154</v>
      </c>
      <c r="D84" s="245" t="s">
        <v>524</v>
      </c>
      <c r="E84" s="245"/>
      <c r="F84" s="230">
        <f>SUM(F85:F87)</f>
        <v>13594.9</v>
      </c>
      <c r="G84" s="230">
        <f>SUM(G85:G87)</f>
        <v>13686.9</v>
      </c>
      <c r="H84" s="230">
        <f>SUM(H85:H87)</f>
        <v>13726.8</v>
      </c>
    </row>
    <row r="85" spans="1:8" ht="100.5" customHeight="1">
      <c r="A85" s="180" t="s">
        <v>482</v>
      </c>
      <c r="B85" s="245" t="s">
        <v>10</v>
      </c>
      <c r="C85" s="245" t="s">
        <v>154</v>
      </c>
      <c r="D85" s="245" t="s">
        <v>524</v>
      </c>
      <c r="E85" s="245" t="s">
        <v>483</v>
      </c>
      <c r="F85" s="230">
        <f>прил.4!G190</f>
        <v>9503.7999999999993</v>
      </c>
      <c r="G85" s="230">
        <f>прил.4!H190</f>
        <v>10975</v>
      </c>
      <c r="H85" s="230">
        <f>прил.4!I190</f>
        <v>10975</v>
      </c>
    </row>
    <row r="86" spans="1:8" ht="38.25" customHeight="1">
      <c r="A86" s="180" t="s">
        <v>630</v>
      </c>
      <c r="B86" s="245" t="s">
        <v>10</v>
      </c>
      <c r="C86" s="245" t="s">
        <v>154</v>
      </c>
      <c r="D86" s="245" t="s">
        <v>524</v>
      </c>
      <c r="E86" s="245" t="s">
        <v>477</v>
      </c>
      <c r="F86" s="230">
        <f>прил.4!G191</f>
        <v>4081.1</v>
      </c>
      <c r="G86" s="230">
        <f>прил.4!H191</f>
        <v>2711.9</v>
      </c>
      <c r="H86" s="230">
        <f>прил.4!I191</f>
        <v>2751.8</v>
      </c>
    </row>
    <row r="87" spans="1:8" s="129" customFormat="1" ht="22.5" customHeight="1">
      <c r="A87" s="180" t="s">
        <v>470</v>
      </c>
      <c r="B87" s="245" t="s">
        <v>10</v>
      </c>
      <c r="C87" s="245" t="s">
        <v>154</v>
      </c>
      <c r="D87" s="245" t="s">
        <v>524</v>
      </c>
      <c r="E87" s="245" t="s">
        <v>471</v>
      </c>
      <c r="F87" s="230">
        <f>прил.4!G192</f>
        <v>10</v>
      </c>
      <c r="G87" s="230">
        <f>прил.4!H192</f>
        <v>0</v>
      </c>
      <c r="H87" s="230">
        <f>прил.4!I192</f>
        <v>0</v>
      </c>
    </row>
    <row r="88" spans="1:8" ht="266.25" customHeight="1">
      <c r="A88" s="180" t="s">
        <v>1145</v>
      </c>
      <c r="B88" s="243" t="s">
        <v>10</v>
      </c>
      <c r="C88" s="245" t="s">
        <v>154</v>
      </c>
      <c r="D88" s="243" t="s">
        <v>628</v>
      </c>
      <c r="E88" s="178"/>
      <c r="F88" s="230">
        <f>F89</f>
        <v>3</v>
      </c>
      <c r="G88" s="230">
        <f>G89</f>
        <v>3</v>
      </c>
      <c r="H88" s="230">
        <f>H89</f>
        <v>3</v>
      </c>
    </row>
    <row r="89" spans="1:8" ht="39" customHeight="1">
      <c r="A89" s="180" t="s">
        <v>630</v>
      </c>
      <c r="B89" s="243" t="s">
        <v>10</v>
      </c>
      <c r="C89" s="245" t="s">
        <v>154</v>
      </c>
      <c r="D89" s="243" t="s">
        <v>628</v>
      </c>
      <c r="E89" s="245" t="s">
        <v>477</v>
      </c>
      <c r="F89" s="230">
        <f>прил.4!G50</f>
        <v>3</v>
      </c>
      <c r="G89" s="230">
        <f>прил.4!H50</f>
        <v>3</v>
      </c>
      <c r="H89" s="230">
        <f>прил.4!I50</f>
        <v>3</v>
      </c>
    </row>
    <row r="90" spans="1:8" ht="104.25" customHeight="1">
      <c r="A90" s="180" t="s">
        <v>901</v>
      </c>
      <c r="B90" s="243" t="s">
        <v>10</v>
      </c>
      <c r="C90" s="245" t="s">
        <v>154</v>
      </c>
      <c r="D90" s="243" t="s">
        <v>900</v>
      </c>
      <c r="E90" s="245"/>
      <c r="F90" s="230">
        <f>F91</f>
        <v>0</v>
      </c>
      <c r="G90" s="230">
        <f>G91</f>
        <v>28.8</v>
      </c>
      <c r="H90" s="230">
        <f>H91</f>
        <v>29.8</v>
      </c>
    </row>
    <row r="91" spans="1:8" ht="39" customHeight="1">
      <c r="A91" s="180" t="s">
        <v>630</v>
      </c>
      <c r="B91" s="243" t="s">
        <v>10</v>
      </c>
      <c r="C91" s="245" t="s">
        <v>154</v>
      </c>
      <c r="D91" s="243" t="s">
        <v>900</v>
      </c>
      <c r="E91" s="245" t="s">
        <v>477</v>
      </c>
      <c r="F91" s="230">
        <f>прил.4!G52</f>
        <v>0</v>
      </c>
      <c r="G91" s="230">
        <f>прил.4!H52</f>
        <v>28.8</v>
      </c>
      <c r="H91" s="230">
        <f>прил.4!I52</f>
        <v>29.8</v>
      </c>
    </row>
    <row r="92" spans="1:8" ht="47.25">
      <c r="A92" s="249" t="s">
        <v>32</v>
      </c>
      <c r="B92" s="248" t="s">
        <v>12</v>
      </c>
      <c r="C92" s="248" t="s">
        <v>469</v>
      </c>
      <c r="D92" s="248"/>
      <c r="E92" s="248"/>
      <c r="F92" s="181">
        <f>F93+F102</f>
        <v>19792.900000000001</v>
      </c>
      <c r="G92" s="181">
        <f>G93+G102</f>
        <v>21494.9</v>
      </c>
      <c r="H92" s="181">
        <f>H93+H102</f>
        <v>21494.9</v>
      </c>
    </row>
    <row r="93" spans="1:8" ht="51" customHeight="1">
      <c r="A93" s="249" t="s">
        <v>472</v>
      </c>
      <c r="B93" s="248" t="s">
        <v>12</v>
      </c>
      <c r="C93" s="248" t="s">
        <v>33</v>
      </c>
      <c r="D93" s="248"/>
      <c r="E93" s="248"/>
      <c r="F93" s="181">
        <f>F94+F98</f>
        <v>19692.900000000001</v>
      </c>
      <c r="G93" s="181">
        <f>G94+G98</f>
        <v>21394.9</v>
      </c>
      <c r="H93" s="181">
        <f>H94+H98</f>
        <v>21394.9</v>
      </c>
    </row>
    <row r="94" spans="1:8" ht="189">
      <c r="A94" s="180" t="s">
        <v>918</v>
      </c>
      <c r="B94" s="245" t="s">
        <v>12</v>
      </c>
      <c r="C94" s="245" t="s">
        <v>33</v>
      </c>
      <c r="D94" s="245" t="s">
        <v>505</v>
      </c>
      <c r="E94" s="245"/>
      <c r="F94" s="230">
        <f>F95+F96+F97</f>
        <v>17848.7</v>
      </c>
      <c r="G94" s="230">
        <f>G95+G96+G97</f>
        <v>19520</v>
      </c>
      <c r="H94" s="230">
        <f>H95+H96+H97</f>
        <v>19520</v>
      </c>
    </row>
    <row r="95" spans="1:8" ht="94.5">
      <c r="A95" s="180" t="s">
        <v>482</v>
      </c>
      <c r="B95" s="245" t="s">
        <v>12</v>
      </c>
      <c r="C95" s="245" t="s">
        <v>33</v>
      </c>
      <c r="D95" s="245" t="s">
        <v>505</v>
      </c>
      <c r="E95" s="245" t="s">
        <v>483</v>
      </c>
      <c r="F95" s="230">
        <f>прил.4!G57</f>
        <v>16117.1</v>
      </c>
      <c r="G95" s="230">
        <f>прил.4!H57</f>
        <v>16852.2</v>
      </c>
      <c r="H95" s="230">
        <f>прил.4!I57</f>
        <v>16852.2</v>
      </c>
    </row>
    <row r="96" spans="1:8" ht="37.5" customHeight="1">
      <c r="A96" s="180" t="s">
        <v>630</v>
      </c>
      <c r="B96" s="245" t="s">
        <v>12</v>
      </c>
      <c r="C96" s="245" t="s">
        <v>33</v>
      </c>
      <c r="D96" s="245" t="s">
        <v>505</v>
      </c>
      <c r="E96" s="245" t="s">
        <v>477</v>
      </c>
      <c r="F96" s="230">
        <f>прил.4!G58</f>
        <v>1679.3</v>
      </c>
      <c r="G96" s="230">
        <f>прил.4!H58</f>
        <v>2635.3</v>
      </c>
      <c r="H96" s="230">
        <f>прил.4!I58</f>
        <v>2635.3</v>
      </c>
    </row>
    <row r="97" spans="1:8" ht="24" customHeight="1">
      <c r="A97" s="180" t="s">
        <v>470</v>
      </c>
      <c r="B97" s="245" t="s">
        <v>12</v>
      </c>
      <c r="C97" s="245" t="s">
        <v>33</v>
      </c>
      <c r="D97" s="245" t="s">
        <v>505</v>
      </c>
      <c r="E97" s="245" t="s">
        <v>471</v>
      </c>
      <c r="F97" s="230">
        <f>прил.4!G59</f>
        <v>52.3</v>
      </c>
      <c r="G97" s="230">
        <f>прил.4!H59</f>
        <v>32.5</v>
      </c>
      <c r="H97" s="230">
        <f>прил.4!I59</f>
        <v>32.5</v>
      </c>
    </row>
    <row r="98" spans="1:8" ht="70.5" customHeight="1">
      <c r="A98" s="180" t="s">
        <v>671</v>
      </c>
      <c r="B98" s="245" t="s">
        <v>12</v>
      </c>
      <c r="C98" s="245" t="s">
        <v>33</v>
      </c>
      <c r="D98" s="183" t="s">
        <v>654</v>
      </c>
      <c r="E98" s="245"/>
      <c r="F98" s="230">
        <f>F99</f>
        <v>1844.2</v>
      </c>
      <c r="G98" s="230">
        <f>G99</f>
        <v>1874.9</v>
      </c>
      <c r="H98" s="230">
        <f>H99</f>
        <v>1874.9</v>
      </c>
    </row>
    <row r="99" spans="1:8" ht="39" customHeight="1">
      <c r="A99" s="180" t="s">
        <v>478</v>
      </c>
      <c r="B99" s="245" t="s">
        <v>12</v>
      </c>
      <c r="C99" s="245" t="s">
        <v>33</v>
      </c>
      <c r="D99" s="183" t="s">
        <v>654</v>
      </c>
      <c r="E99" s="245" t="s">
        <v>477</v>
      </c>
      <c r="F99" s="230">
        <f>прил.4!G61+прил.4!G129</f>
        <v>1844.2</v>
      </c>
      <c r="G99" s="230">
        <f>прил.4!H61+прил.4!H129</f>
        <v>1874.9</v>
      </c>
      <c r="H99" s="230">
        <f>прил.4!I61+прил.4!I129</f>
        <v>1874.9</v>
      </c>
    </row>
    <row r="100" spans="1:8" ht="25.5" customHeight="1">
      <c r="A100" s="249" t="s">
        <v>489</v>
      </c>
      <c r="B100" s="248" t="s">
        <v>12</v>
      </c>
      <c r="C100" s="248" t="s">
        <v>94</v>
      </c>
      <c r="D100" s="248"/>
      <c r="E100" s="248"/>
      <c r="F100" s="181">
        <f t="shared" ref="F100:H101" si="7">F101</f>
        <v>100</v>
      </c>
      <c r="G100" s="230">
        <f t="shared" si="7"/>
        <v>100</v>
      </c>
      <c r="H100" s="230">
        <f t="shared" si="7"/>
        <v>100</v>
      </c>
    </row>
    <row r="101" spans="1:8" ht="131.25" customHeight="1">
      <c r="A101" s="180" t="s">
        <v>947</v>
      </c>
      <c r="B101" s="245" t="s">
        <v>12</v>
      </c>
      <c r="C101" s="245" t="s">
        <v>94</v>
      </c>
      <c r="D101" s="245" t="s">
        <v>506</v>
      </c>
      <c r="E101" s="245"/>
      <c r="F101" s="230">
        <f t="shared" si="7"/>
        <v>100</v>
      </c>
      <c r="G101" s="230">
        <f t="shared" si="7"/>
        <v>100</v>
      </c>
      <c r="H101" s="230">
        <f t="shared" si="7"/>
        <v>100</v>
      </c>
    </row>
    <row r="102" spans="1:8" ht="38.25" customHeight="1">
      <c r="A102" s="180" t="s">
        <v>630</v>
      </c>
      <c r="B102" s="245" t="s">
        <v>12</v>
      </c>
      <c r="C102" s="245" t="s">
        <v>94</v>
      </c>
      <c r="D102" s="245" t="s">
        <v>506</v>
      </c>
      <c r="E102" s="245" t="s">
        <v>477</v>
      </c>
      <c r="F102" s="230">
        <f>прил.4!G65</f>
        <v>100</v>
      </c>
      <c r="G102" s="230">
        <f>прил.4!H65</f>
        <v>100</v>
      </c>
      <c r="H102" s="230">
        <f>прил.4!I65</f>
        <v>100</v>
      </c>
    </row>
    <row r="103" spans="1:8" s="189" customFormat="1">
      <c r="A103" s="246" t="s">
        <v>39</v>
      </c>
      <c r="B103" s="248" t="s">
        <v>19</v>
      </c>
      <c r="C103" s="248" t="s">
        <v>469</v>
      </c>
      <c r="D103" s="248"/>
      <c r="E103" s="248"/>
      <c r="F103" s="181">
        <f>F104+F107+F125</f>
        <v>1086191</v>
      </c>
      <c r="G103" s="181">
        <f>G104+G107+G125</f>
        <v>918484.2</v>
      </c>
      <c r="H103" s="181">
        <f>H104+H107+H125</f>
        <v>881159.8</v>
      </c>
    </row>
    <row r="104" spans="1:8" s="189" customFormat="1">
      <c r="A104" s="246" t="s">
        <v>141</v>
      </c>
      <c r="B104" s="248" t="s">
        <v>19</v>
      </c>
      <c r="C104" s="248" t="s">
        <v>81</v>
      </c>
      <c r="D104" s="248"/>
      <c r="E104" s="248"/>
      <c r="F104" s="181">
        <f t="shared" ref="F104:H105" si="8">F105</f>
        <v>28000</v>
      </c>
      <c r="G104" s="181">
        <f t="shared" si="8"/>
        <v>20000</v>
      </c>
      <c r="H104" s="181">
        <f t="shared" si="8"/>
        <v>20000</v>
      </c>
    </row>
    <row r="105" spans="1:8" s="189" customFormat="1" ht="120.75" customHeight="1">
      <c r="A105" s="180" t="s">
        <v>906</v>
      </c>
      <c r="B105" s="245" t="s">
        <v>19</v>
      </c>
      <c r="C105" s="245" t="s">
        <v>81</v>
      </c>
      <c r="D105" s="245" t="s">
        <v>507</v>
      </c>
      <c r="E105" s="245"/>
      <c r="F105" s="230">
        <f t="shared" si="8"/>
        <v>28000</v>
      </c>
      <c r="G105" s="230">
        <f t="shared" si="8"/>
        <v>20000</v>
      </c>
      <c r="H105" s="230">
        <f t="shared" si="8"/>
        <v>20000</v>
      </c>
    </row>
    <row r="106" spans="1:8">
      <c r="A106" s="180" t="s">
        <v>470</v>
      </c>
      <c r="B106" s="245" t="s">
        <v>19</v>
      </c>
      <c r="C106" s="245" t="s">
        <v>81</v>
      </c>
      <c r="D106" s="245" t="s">
        <v>507</v>
      </c>
      <c r="E106" s="245" t="s">
        <v>471</v>
      </c>
      <c r="F106" s="230">
        <f>прил.4!G69</f>
        <v>28000</v>
      </c>
      <c r="G106" s="230">
        <f>прил.4!H69</f>
        <v>20000</v>
      </c>
      <c r="H106" s="230">
        <f>прил.4!I69</f>
        <v>20000</v>
      </c>
    </row>
    <row r="107" spans="1:8" s="189" customFormat="1">
      <c r="A107" s="249" t="s">
        <v>149</v>
      </c>
      <c r="B107" s="248" t="s">
        <v>19</v>
      </c>
      <c r="C107" s="248" t="s">
        <v>33</v>
      </c>
      <c r="D107" s="248"/>
      <c r="E107" s="248"/>
      <c r="F107" s="181">
        <f>F108+F114+F111</f>
        <v>963994</v>
      </c>
      <c r="G107" s="181">
        <f>G108+G114+G111</f>
        <v>847401.1</v>
      </c>
      <c r="H107" s="181">
        <f>H108+H114+H111</f>
        <v>861159.8</v>
      </c>
    </row>
    <row r="108" spans="1:8" s="189" customFormat="1" ht="66.75" customHeight="1">
      <c r="A108" s="180" t="s">
        <v>607</v>
      </c>
      <c r="B108" s="245" t="s">
        <v>19</v>
      </c>
      <c r="C108" s="245" t="s">
        <v>33</v>
      </c>
      <c r="D108" s="243" t="s">
        <v>557</v>
      </c>
      <c r="E108" s="245"/>
      <c r="F108" s="230">
        <f t="shared" ref="F108:H109" si="9">F109</f>
        <v>169</v>
      </c>
      <c r="G108" s="230">
        <f t="shared" si="9"/>
        <v>850</v>
      </c>
      <c r="H108" s="230">
        <f t="shared" si="9"/>
        <v>0</v>
      </c>
    </row>
    <row r="109" spans="1:8" s="189" customFormat="1" ht="69" customHeight="1">
      <c r="A109" s="180" t="s">
        <v>664</v>
      </c>
      <c r="B109" s="245" t="s">
        <v>19</v>
      </c>
      <c r="C109" s="245" t="s">
        <v>33</v>
      </c>
      <c r="D109" s="243" t="s">
        <v>645</v>
      </c>
      <c r="E109" s="245"/>
      <c r="F109" s="230">
        <f t="shared" si="9"/>
        <v>169</v>
      </c>
      <c r="G109" s="230">
        <f t="shared" si="9"/>
        <v>850</v>
      </c>
      <c r="H109" s="230">
        <f t="shared" si="9"/>
        <v>0</v>
      </c>
    </row>
    <row r="110" spans="1:8" s="189" customFormat="1" ht="39" customHeight="1">
      <c r="A110" s="180" t="s">
        <v>630</v>
      </c>
      <c r="B110" s="245" t="s">
        <v>19</v>
      </c>
      <c r="C110" s="245" t="s">
        <v>33</v>
      </c>
      <c r="D110" s="243" t="s">
        <v>645</v>
      </c>
      <c r="E110" s="245" t="s">
        <v>477</v>
      </c>
      <c r="F110" s="230">
        <f>прил.4!G134</f>
        <v>169</v>
      </c>
      <c r="G110" s="230">
        <f>прил.4!H134</f>
        <v>850</v>
      </c>
      <c r="H110" s="230">
        <f>прил.4!I134</f>
        <v>0</v>
      </c>
    </row>
    <row r="111" spans="1:8" s="129" customFormat="1" ht="54.75" customHeight="1">
      <c r="A111" s="180" t="s">
        <v>641</v>
      </c>
      <c r="B111" s="245" t="s">
        <v>19</v>
      </c>
      <c r="C111" s="245" t="s">
        <v>33</v>
      </c>
      <c r="D111" s="243" t="s">
        <v>642</v>
      </c>
      <c r="E111" s="245"/>
      <c r="F111" s="230">
        <f t="shared" ref="F111:H112" si="10">F112</f>
        <v>52825.3</v>
      </c>
      <c r="G111" s="230">
        <f t="shared" si="10"/>
        <v>1332.4</v>
      </c>
      <c r="H111" s="230">
        <f t="shared" si="10"/>
        <v>1332.4</v>
      </c>
    </row>
    <row r="112" spans="1:8" s="129" customFormat="1" ht="81" customHeight="1">
      <c r="A112" s="180" t="s">
        <v>867</v>
      </c>
      <c r="B112" s="245" t="s">
        <v>19</v>
      </c>
      <c r="C112" s="245" t="s">
        <v>33</v>
      </c>
      <c r="D112" s="243" t="s">
        <v>866</v>
      </c>
      <c r="E112" s="245"/>
      <c r="F112" s="230">
        <f t="shared" si="10"/>
        <v>52825.3</v>
      </c>
      <c r="G112" s="230">
        <f t="shared" si="10"/>
        <v>1332.4</v>
      </c>
      <c r="H112" s="230">
        <f t="shared" si="10"/>
        <v>1332.4</v>
      </c>
    </row>
    <row r="113" spans="1:8" s="129" customFormat="1" ht="31.5">
      <c r="A113" s="180" t="s">
        <v>630</v>
      </c>
      <c r="B113" s="245" t="s">
        <v>19</v>
      </c>
      <c r="C113" s="245" t="s">
        <v>33</v>
      </c>
      <c r="D113" s="243" t="s">
        <v>865</v>
      </c>
      <c r="E113" s="245" t="s">
        <v>477</v>
      </c>
      <c r="F113" s="230">
        <f>прил.4!G137</f>
        <v>52825.3</v>
      </c>
      <c r="G113" s="230">
        <f>прил.4!H137</f>
        <v>1332.4</v>
      </c>
      <c r="H113" s="230">
        <f>прил.4!I137</f>
        <v>1332.4</v>
      </c>
    </row>
    <row r="114" spans="1:8" s="129" customFormat="1" ht="69.75" customHeight="1">
      <c r="A114" s="180" t="s">
        <v>926</v>
      </c>
      <c r="B114" s="245" t="s">
        <v>19</v>
      </c>
      <c r="C114" s="245" t="s">
        <v>33</v>
      </c>
      <c r="D114" s="243" t="s">
        <v>576</v>
      </c>
      <c r="E114" s="245"/>
      <c r="F114" s="230">
        <f>F115+F121+F119+F123</f>
        <v>910999.7</v>
      </c>
      <c r="G114" s="230">
        <f>G115+G121+G119+G123</f>
        <v>845218.7</v>
      </c>
      <c r="H114" s="230">
        <f>H115+H121+H119+H123</f>
        <v>859827.4</v>
      </c>
    </row>
    <row r="115" spans="1:8" ht="99" customHeight="1">
      <c r="A115" s="180" t="s">
        <v>927</v>
      </c>
      <c r="B115" s="245" t="s">
        <v>19</v>
      </c>
      <c r="C115" s="245" t="s">
        <v>33</v>
      </c>
      <c r="D115" s="245" t="s">
        <v>508</v>
      </c>
      <c r="E115" s="245"/>
      <c r="F115" s="230">
        <f>F116+F118+F117</f>
        <v>353102.19999999995</v>
      </c>
      <c r="G115" s="230">
        <f>G116+G118</f>
        <v>365218.69999999995</v>
      </c>
      <c r="H115" s="230">
        <f>H116+H118</f>
        <v>379827.4</v>
      </c>
    </row>
    <row r="116" spans="1:8" ht="39.75" customHeight="1">
      <c r="A116" s="180" t="s">
        <v>630</v>
      </c>
      <c r="B116" s="245" t="s">
        <v>19</v>
      </c>
      <c r="C116" s="245" t="s">
        <v>33</v>
      </c>
      <c r="D116" s="245" t="s">
        <v>508</v>
      </c>
      <c r="E116" s="245" t="s">
        <v>477</v>
      </c>
      <c r="F116" s="230">
        <f>прил.4!G140+прил.4!G268</f>
        <v>342579.3</v>
      </c>
      <c r="G116" s="230">
        <f>прил.4!H140+прил.4!H268</f>
        <v>350911.1</v>
      </c>
      <c r="H116" s="230">
        <f>прил.4!I140+прил.4!I268</f>
        <v>365519.80000000005</v>
      </c>
    </row>
    <row r="117" spans="1:8" s="163" customFormat="1" ht="54" customHeight="1">
      <c r="A117" s="180" t="s">
        <v>1043</v>
      </c>
      <c r="B117" s="245" t="s">
        <v>19</v>
      </c>
      <c r="C117" s="245" t="s">
        <v>33</v>
      </c>
      <c r="D117" s="245" t="s">
        <v>508</v>
      </c>
      <c r="E117" s="245" t="s">
        <v>481</v>
      </c>
      <c r="F117" s="230">
        <f>прил.4!G141</f>
        <v>2277.6</v>
      </c>
      <c r="G117" s="230">
        <f>прил.4!H141</f>
        <v>0</v>
      </c>
      <c r="H117" s="230">
        <f>прил.4!I141</f>
        <v>0</v>
      </c>
    </row>
    <row r="118" spans="1:8" ht="22.5" customHeight="1">
      <c r="A118" s="180" t="s">
        <v>470</v>
      </c>
      <c r="B118" s="245" t="s">
        <v>19</v>
      </c>
      <c r="C118" s="245" t="s">
        <v>33</v>
      </c>
      <c r="D118" s="245" t="s">
        <v>508</v>
      </c>
      <c r="E118" s="245" t="s">
        <v>471</v>
      </c>
      <c r="F118" s="230">
        <f>прил.4!G142</f>
        <v>8245.2999999999993</v>
      </c>
      <c r="G118" s="230">
        <f>прил.4!H142</f>
        <v>14307.6</v>
      </c>
      <c r="H118" s="230">
        <f>прил.4!I142</f>
        <v>14307.6</v>
      </c>
    </row>
    <row r="119" spans="1:8" ht="71.25" customHeight="1">
      <c r="A119" s="180" t="s">
        <v>606</v>
      </c>
      <c r="B119" s="245" t="s">
        <v>19</v>
      </c>
      <c r="C119" s="245" t="s">
        <v>33</v>
      </c>
      <c r="D119" s="245" t="s">
        <v>676</v>
      </c>
      <c r="E119" s="245"/>
      <c r="F119" s="230">
        <f>F120</f>
        <v>50000</v>
      </c>
      <c r="G119" s="230">
        <f>G120</f>
        <v>0</v>
      </c>
      <c r="H119" s="230">
        <f>H120</f>
        <v>0</v>
      </c>
    </row>
    <row r="120" spans="1:8" ht="31.5">
      <c r="A120" s="180" t="s">
        <v>630</v>
      </c>
      <c r="B120" s="245" t="s">
        <v>19</v>
      </c>
      <c r="C120" s="245" t="s">
        <v>33</v>
      </c>
      <c r="D120" s="245" t="s">
        <v>676</v>
      </c>
      <c r="E120" s="245" t="s">
        <v>477</v>
      </c>
      <c r="F120" s="230">
        <f>прил.4!G144</f>
        <v>50000</v>
      </c>
      <c r="G120" s="230">
        <f>прил.4!H144</f>
        <v>0</v>
      </c>
      <c r="H120" s="230">
        <f>прил.4!I144</f>
        <v>0</v>
      </c>
    </row>
    <row r="121" spans="1:8" s="163" customFormat="1" ht="70.5" customHeight="1">
      <c r="A121" s="180" t="s">
        <v>606</v>
      </c>
      <c r="B121" s="245" t="s">
        <v>19</v>
      </c>
      <c r="C121" s="245" t="s">
        <v>33</v>
      </c>
      <c r="D121" s="245" t="s">
        <v>599</v>
      </c>
      <c r="E121" s="245"/>
      <c r="F121" s="230">
        <f>F122</f>
        <v>27897.5</v>
      </c>
      <c r="G121" s="230">
        <f>G122</f>
        <v>0</v>
      </c>
      <c r="H121" s="230">
        <f>H122</f>
        <v>0</v>
      </c>
    </row>
    <row r="122" spans="1:8" s="163" customFormat="1" ht="53.25" customHeight="1">
      <c r="A122" s="180" t="s">
        <v>536</v>
      </c>
      <c r="B122" s="245" t="s">
        <v>19</v>
      </c>
      <c r="C122" s="245" t="s">
        <v>33</v>
      </c>
      <c r="D122" s="245" t="s">
        <v>599</v>
      </c>
      <c r="E122" s="245" t="s">
        <v>481</v>
      </c>
      <c r="F122" s="230">
        <f>прил.4!G146</f>
        <v>27897.5</v>
      </c>
      <c r="G122" s="230">
        <f>прил.4!H146</f>
        <v>0</v>
      </c>
      <c r="H122" s="230">
        <f>прил.4!I146</f>
        <v>0</v>
      </c>
    </row>
    <row r="123" spans="1:8" s="163" customFormat="1" ht="70.5" customHeight="1">
      <c r="A123" s="180" t="s">
        <v>1137</v>
      </c>
      <c r="B123" s="245" t="s">
        <v>19</v>
      </c>
      <c r="C123" s="245" t="s">
        <v>33</v>
      </c>
      <c r="D123" s="245" t="s">
        <v>868</v>
      </c>
      <c r="E123" s="245"/>
      <c r="F123" s="230">
        <f>F124</f>
        <v>480000</v>
      </c>
      <c r="G123" s="230">
        <f>G124</f>
        <v>480000</v>
      </c>
      <c r="H123" s="230">
        <f>H124</f>
        <v>480000</v>
      </c>
    </row>
    <row r="124" spans="1:8" s="163" customFormat="1" ht="31.5">
      <c r="A124" s="180" t="s">
        <v>630</v>
      </c>
      <c r="B124" s="245" t="s">
        <v>19</v>
      </c>
      <c r="C124" s="245" t="s">
        <v>33</v>
      </c>
      <c r="D124" s="245" t="s">
        <v>868</v>
      </c>
      <c r="E124" s="245" t="s">
        <v>477</v>
      </c>
      <c r="F124" s="230">
        <f>прил.4!G148</f>
        <v>480000</v>
      </c>
      <c r="G124" s="230">
        <f>прил.4!H148</f>
        <v>480000</v>
      </c>
      <c r="H124" s="230">
        <f>прил.4!I148</f>
        <v>480000</v>
      </c>
    </row>
    <row r="125" spans="1:8" ht="47.25" customHeight="1">
      <c r="A125" s="246" t="s">
        <v>40</v>
      </c>
      <c r="B125" s="248" t="s">
        <v>19</v>
      </c>
      <c r="C125" s="248" t="s">
        <v>24</v>
      </c>
      <c r="D125" s="248"/>
      <c r="E125" s="248"/>
      <c r="F125" s="181">
        <f>F126+F128</f>
        <v>94197.000000000015</v>
      </c>
      <c r="G125" s="181">
        <f>G126+G128</f>
        <v>51083.1</v>
      </c>
      <c r="H125" s="181">
        <f>H126+H128</f>
        <v>0</v>
      </c>
    </row>
    <row r="126" spans="1:8" ht="116.25" customHeight="1">
      <c r="A126" s="180" t="s">
        <v>922</v>
      </c>
      <c r="B126" s="245" t="s">
        <v>19</v>
      </c>
      <c r="C126" s="245" t="s">
        <v>24</v>
      </c>
      <c r="D126" s="245" t="s">
        <v>509</v>
      </c>
      <c r="E126" s="248"/>
      <c r="F126" s="181">
        <f>F127</f>
        <v>90742.700000000012</v>
      </c>
      <c r="G126" s="230">
        <f>G127</f>
        <v>51083.1</v>
      </c>
      <c r="H126" s="230">
        <f>H127</f>
        <v>0</v>
      </c>
    </row>
    <row r="127" spans="1:8" ht="38.25" customHeight="1">
      <c r="A127" s="180" t="s">
        <v>630</v>
      </c>
      <c r="B127" s="245" t="s">
        <v>19</v>
      </c>
      <c r="C127" s="245" t="s">
        <v>24</v>
      </c>
      <c r="D127" s="245" t="s">
        <v>509</v>
      </c>
      <c r="E127" s="245" t="s">
        <v>477</v>
      </c>
      <c r="F127" s="230">
        <f>прил.4!G73</f>
        <v>90742.700000000012</v>
      </c>
      <c r="G127" s="230">
        <f>прил.4!H73</f>
        <v>51083.1</v>
      </c>
      <c r="H127" s="230">
        <f>прил.4!I73</f>
        <v>0</v>
      </c>
    </row>
    <row r="128" spans="1:8" s="129" customFormat="1" ht="70.5" customHeight="1">
      <c r="A128" s="179" t="s">
        <v>873</v>
      </c>
      <c r="B128" s="245" t="s">
        <v>19</v>
      </c>
      <c r="C128" s="245" t="s">
        <v>24</v>
      </c>
      <c r="D128" s="245" t="s">
        <v>872</v>
      </c>
      <c r="E128" s="245"/>
      <c r="F128" s="230">
        <f>F129</f>
        <v>3454.3</v>
      </c>
      <c r="G128" s="230">
        <f>G129</f>
        <v>0</v>
      </c>
      <c r="H128" s="230">
        <f>H129</f>
        <v>0</v>
      </c>
    </row>
    <row r="129" spans="1:8" s="129" customFormat="1" ht="43.5" customHeight="1">
      <c r="A129" s="180" t="s">
        <v>630</v>
      </c>
      <c r="B129" s="245" t="s">
        <v>19</v>
      </c>
      <c r="C129" s="245" t="s">
        <v>24</v>
      </c>
      <c r="D129" s="245" t="s">
        <v>872</v>
      </c>
      <c r="E129" s="245" t="s">
        <v>477</v>
      </c>
      <c r="F129" s="230">
        <f>прил.4!G271</f>
        <v>3454.3</v>
      </c>
      <c r="G129" s="230">
        <f>прил.4!H271</f>
        <v>0</v>
      </c>
      <c r="H129" s="230">
        <f>прил.4!I271</f>
        <v>0</v>
      </c>
    </row>
    <row r="130" spans="1:8" ht="31.5">
      <c r="A130" s="246" t="s">
        <v>43</v>
      </c>
      <c r="B130" s="248" t="s">
        <v>44</v>
      </c>
      <c r="C130" s="248" t="s">
        <v>469</v>
      </c>
      <c r="D130" s="248"/>
      <c r="E130" s="248"/>
      <c r="F130" s="181">
        <f>F131+F144+F151+F163</f>
        <v>368143.9</v>
      </c>
      <c r="G130" s="181">
        <f>G131+G144+G151+G163</f>
        <v>217628.1</v>
      </c>
      <c r="H130" s="181">
        <f>H131+H144+H151+H163</f>
        <v>149555.29999999999</v>
      </c>
    </row>
    <row r="131" spans="1:8" ht="22.5" customHeight="1">
      <c r="A131" s="249" t="s">
        <v>45</v>
      </c>
      <c r="B131" s="248" t="s">
        <v>44</v>
      </c>
      <c r="C131" s="248" t="s">
        <v>10</v>
      </c>
      <c r="D131" s="248"/>
      <c r="E131" s="248"/>
      <c r="F131" s="181">
        <f>F136+F138+F134+F132+F140+F142</f>
        <v>155737.70000000001</v>
      </c>
      <c r="G131" s="181">
        <f>G136+G138+G134+G132+G140+G142</f>
        <v>82548</v>
      </c>
      <c r="H131" s="181">
        <f>H136+H138+H134+H132+H140+H142</f>
        <v>61139.199999999997</v>
      </c>
    </row>
    <row r="132" spans="1:8" ht="105.75" customHeight="1">
      <c r="A132" s="180" t="s">
        <v>904</v>
      </c>
      <c r="B132" s="245" t="s">
        <v>44</v>
      </c>
      <c r="C132" s="245" t="s">
        <v>10</v>
      </c>
      <c r="D132" s="245" t="s">
        <v>899</v>
      </c>
      <c r="E132" s="245"/>
      <c r="F132" s="230">
        <f>F133</f>
        <v>0</v>
      </c>
      <c r="G132" s="230">
        <f>G133</f>
        <v>270.8</v>
      </c>
      <c r="H132" s="230">
        <f>H133</f>
        <v>36</v>
      </c>
    </row>
    <row r="133" spans="1:8" ht="47.25">
      <c r="A133" s="180" t="s">
        <v>536</v>
      </c>
      <c r="B133" s="245" t="s">
        <v>44</v>
      </c>
      <c r="C133" s="245" t="s">
        <v>10</v>
      </c>
      <c r="D133" s="245" t="s">
        <v>899</v>
      </c>
      <c r="E133" s="245" t="s">
        <v>481</v>
      </c>
      <c r="F133" s="230">
        <f>прил.4!G77</f>
        <v>0</v>
      </c>
      <c r="G133" s="230">
        <f>прил.4!H77</f>
        <v>270.8</v>
      </c>
      <c r="H133" s="230">
        <f>прил.4!I77</f>
        <v>36</v>
      </c>
    </row>
    <row r="134" spans="1:8" ht="38.25" customHeight="1">
      <c r="A134" s="180" t="s">
        <v>638</v>
      </c>
      <c r="B134" s="245" t="s">
        <v>44</v>
      </c>
      <c r="C134" s="245" t="s">
        <v>10</v>
      </c>
      <c r="D134" s="245" t="s">
        <v>637</v>
      </c>
      <c r="E134" s="245"/>
      <c r="F134" s="230">
        <f>SUM(F135:F135)</f>
        <v>18691.099999999999</v>
      </c>
      <c r="G134" s="230">
        <f>SUM(G135:G135)</f>
        <v>633.5</v>
      </c>
      <c r="H134" s="230">
        <f>SUM(H135:H135)</f>
        <v>0</v>
      </c>
    </row>
    <row r="135" spans="1:8" ht="58.5" customHeight="1">
      <c r="A135" s="180" t="s">
        <v>536</v>
      </c>
      <c r="B135" s="245" t="s">
        <v>44</v>
      </c>
      <c r="C135" s="245" t="s">
        <v>10</v>
      </c>
      <c r="D135" s="245" t="s">
        <v>637</v>
      </c>
      <c r="E135" s="245" t="s">
        <v>481</v>
      </c>
      <c r="F135" s="230">
        <f>прил.4!G79</f>
        <v>18691.099999999999</v>
      </c>
      <c r="G135" s="230">
        <f>прил.4!H79</f>
        <v>633.5</v>
      </c>
      <c r="H135" s="230">
        <f>прил.4!I79</f>
        <v>0</v>
      </c>
    </row>
    <row r="136" spans="1:8" ht="146.25" customHeight="1">
      <c r="A136" s="180" t="s">
        <v>939</v>
      </c>
      <c r="B136" s="245" t="s">
        <v>44</v>
      </c>
      <c r="C136" s="245" t="s">
        <v>10</v>
      </c>
      <c r="D136" s="245" t="s">
        <v>510</v>
      </c>
      <c r="E136" s="245"/>
      <c r="F136" s="230">
        <f>F137</f>
        <v>3185.3</v>
      </c>
      <c r="G136" s="230">
        <f>G137</f>
        <v>3549.1</v>
      </c>
      <c r="H136" s="230">
        <f>H137</f>
        <v>3549.1</v>
      </c>
    </row>
    <row r="137" spans="1:8" ht="42.75" customHeight="1">
      <c r="A137" s="180" t="s">
        <v>630</v>
      </c>
      <c r="B137" s="245" t="s">
        <v>44</v>
      </c>
      <c r="C137" s="245" t="s">
        <v>10</v>
      </c>
      <c r="D137" s="245" t="s">
        <v>510</v>
      </c>
      <c r="E137" s="245" t="s">
        <v>477</v>
      </c>
      <c r="F137" s="230">
        <f>прил.4!G152+прил.4!G275</f>
        <v>3185.3</v>
      </c>
      <c r="G137" s="230">
        <f>прил.4!H152+прил.4!H275</f>
        <v>3549.1</v>
      </c>
      <c r="H137" s="230">
        <f>прил.4!I152+прил.4!I275</f>
        <v>3549.1</v>
      </c>
    </row>
    <row r="138" spans="1:8" ht="130.5" customHeight="1">
      <c r="A138" s="180" t="s">
        <v>925</v>
      </c>
      <c r="B138" s="245" t="s">
        <v>44</v>
      </c>
      <c r="C138" s="245" t="s">
        <v>10</v>
      </c>
      <c r="D138" s="245" t="s">
        <v>511</v>
      </c>
      <c r="E138" s="245"/>
      <c r="F138" s="230">
        <f>F139</f>
        <v>11536.9</v>
      </c>
      <c r="G138" s="230">
        <f>G139</f>
        <v>6000</v>
      </c>
      <c r="H138" s="230">
        <f>H139</f>
        <v>6000</v>
      </c>
    </row>
    <row r="139" spans="1:8" ht="31.5">
      <c r="A139" s="180" t="s">
        <v>630</v>
      </c>
      <c r="B139" s="245" t="s">
        <v>44</v>
      </c>
      <c r="C139" s="245" t="s">
        <v>10</v>
      </c>
      <c r="D139" s="245" t="s">
        <v>511</v>
      </c>
      <c r="E139" s="245" t="s">
        <v>477</v>
      </c>
      <c r="F139" s="230">
        <f>прил.4!G154</f>
        <v>11536.9</v>
      </c>
      <c r="G139" s="230">
        <f>прил.4!H154</f>
        <v>6000</v>
      </c>
      <c r="H139" s="230">
        <f>прил.4!I154</f>
        <v>6000</v>
      </c>
    </row>
    <row r="140" spans="1:8" ht="115.5" customHeight="1">
      <c r="A140" s="180" t="s">
        <v>653</v>
      </c>
      <c r="B140" s="245" t="s">
        <v>44</v>
      </c>
      <c r="C140" s="245" t="s">
        <v>10</v>
      </c>
      <c r="D140" s="245" t="s">
        <v>626</v>
      </c>
      <c r="E140" s="245"/>
      <c r="F140" s="230">
        <f>F141</f>
        <v>122324.4</v>
      </c>
      <c r="G140" s="230">
        <f>G141</f>
        <v>50000</v>
      </c>
      <c r="H140" s="230">
        <f>H141</f>
        <v>0</v>
      </c>
    </row>
    <row r="141" spans="1:8" ht="51.75" customHeight="1">
      <c r="A141" s="180" t="s">
        <v>536</v>
      </c>
      <c r="B141" s="245" t="s">
        <v>44</v>
      </c>
      <c r="C141" s="245" t="s">
        <v>10</v>
      </c>
      <c r="D141" s="245" t="s">
        <v>626</v>
      </c>
      <c r="E141" s="245" t="s">
        <v>481</v>
      </c>
      <c r="F141" s="230">
        <f>прил.4!G156</f>
        <v>122324.4</v>
      </c>
      <c r="G141" s="230">
        <f>прил.4!H156</f>
        <v>50000</v>
      </c>
      <c r="H141" s="230">
        <v>0</v>
      </c>
    </row>
    <row r="142" spans="1:8" ht="72.75" customHeight="1">
      <c r="A142" s="180" t="s">
        <v>1128</v>
      </c>
      <c r="B142" s="245" t="s">
        <v>44</v>
      </c>
      <c r="C142" s="245" t="s">
        <v>10</v>
      </c>
      <c r="D142" s="245" t="s">
        <v>1129</v>
      </c>
      <c r="E142" s="245"/>
      <c r="F142" s="230">
        <f>F143</f>
        <v>0</v>
      </c>
      <c r="G142" s="230">
        <f>G143</f>
        <v>22094.6</v>
      </c>
      <c r="H142" s="230">
        <f>H143</f>
        <v>51554.1</v>
      </c>
    </row>
    <row r="143" spans="1:8" ht="54.75" customHeight="1">
      <c r="A143" s="180" t="s">
        <v>1043</v>
      </c>
      <c r="B143" s="245" t="s">
        <v>44</v>
      </c>
      <c r="C143" s="245" t="s">
        <v>10</v>
      </c>
      <c r="D143" s="245" t="s">
        <v>1129</v>
      </c>
      <c r="E143" s="245" t="s">
        <v>481</v>
      </c>
      <c r="F143" s="230">
        <f>прил.4!G158</f>
        <v>0</v>
      </c>
      <c r="G143" s="230">
        <f>прил.4!H158</f>
        <v>22094.6</v>
      </c>
      <c r="H143" s="230">
        <f>прил.4!I158</f>
        <v>51554.1</v>
      </c>
    </row>
    <row r="144" spans="1:8" ht="22.5" customHeight="1">
      <c r="A144" s="249" t="s">
        <v>293</v>
      </c>
      <c r="B144" s="248" t="s">
        <v>44</v>
      </c>
      <c r="C144" s="248" t="s">
        <v>50</v>
      </c>
      <c r="D144" s="248"/>
      <c r="E144" s="248"/>
      <c r="F144" s="181">
        <f>F148+F145</f>
        <v>93596.200000000012</v>
      </c>
      <c r="G144" s="181">
        <f>G148+G145</f>
        <v>26664</v>
      </c>
      <c r="H144" s="181">
        <f>H148+H145</f>
        <v>0</v>
      </c>
    </row>
    <row r="145" spans="1:8" s="129" customFormat="1" ht="129.75" customHeight="1">
      <c r="A145" s="180" t="s">
        <v>682</v>
      </c>
      <c r="B145" s="245" t="s">
        <v>44</v>
      </c>
      <c r="C145" s="245" t="s">
        <v>50</v>
      </c>
      <c r="D145" s="245" t="s">
        <v>550</v>
      </c>
      <c r="E145" s="245"/>
      <c r="F145" s="230">
        <f>F146+F147</f>
        <v>2722.1</v>
      </c>
      <c r="G145" s="230">
        <v>0</v>
      </c>
      <c r="H145" s="230">
        <v>0</v>
      </c>
    </row>
    <row r="146" spans="1:8" s="129" customFormat="1" ht="42" customHeight="1">
      <c r="A146" s="180" t="s">
        <v>630</v>
      </c>
      <c r="B146" s="245" t="s">
        <v>44</v>
      </c>
      <c r="C146" s="245" t="s">
        <v>50</v>
      </c>
      <c r="D146" s="245" t="s">
        <v>550</v>
      </c>
      <c r="E146" s="245" t="s">
        <v>477</v>
      </c>
      <c r="F146" s="230">
        <f>прил.4!G164</f>
        <v>1325.1</v>
      </c>
      <c r="G146" s="230">
        <f>прил.4!H164</f>
        <v>0</v>
      </c>
      <c r="H146" s="230">
        <f>прил.4!I164</f>
        <v>0</v>
      </c>
    </row>
    <row r="147" spans="1:8" s="129" customFormat="1" ht="47.25">
      <c r="A147" s="180" t="s">
        <v>1043</v>
      </c>
      <c r="B147" s="245" t="s">
        <v>44</v>
      </c>
      <c r="C147" s="245" t="s">
        <v>50</v>
      </c>
      <c r="D147" s="245" t="s">
        <v>550</v>
      </c>
      <c r="E147" s="245" t="s">
        <v>481</v>
      </c>
      <c r="F147" s="230">
        <f>прил.4!G165</f>
        <v>1397</v>
      </c>
      <c r="G147" s="230">
        <f>прил.4!H165</f>
        <v>0</v>
      </c>
      <c r="H147" s="230">
        <f>прил.4!I165</f>
        <v>0</v>
      </c>
    </row>
    <row r="148" spans="1:8" ht="106.5" customHeight="1">
      <c r="A148" s="180" t="s">
        <v>652</v>
      </c>
      <c r="B148" s="245" t="s">
        <v>44</v>
      </c>
      <c r="C148" s="245" t="s">
        <v>50</v>
      </c>
      <c r="D148" s="245" t="s">
        <v>512</v>
      </c>
      <c r="E148" s="245"/>
      <c r="F148" s="230">
        <f>F149+F150</f>
        <v>90874.1</v>
      </c>
      <c r="G148" s="230">
        <f>G149+G150</f>
        <v>26664</v>
      </c>
      <c r="H148" s="230">
        <f>H149+H150</f>
        <v>0</v>
      </c>
    </row>
    <row r="149" spans="1:8" ht="31.5">
      <c r="A149" s="180" t="s">
        <v>630</v>
      </c>
      <c r="B149" s="245" t="s">
        <v>44</v>
      </c>
      <c r="C149" s="245" t="s">
        <v>50</v>
      </c>
      <c r="D149" s="245" t="s">
        <v>512</v>
      </c>
      <c r="E149" s="245" t="s">
        <v>477</v>
      </c>
      <c r="F149" s="230">
        <f>прил.4!G161</f>
        <v>40361</v>
      </c>
      <c r="G149" s="230">
        <f>прил.4!H161</f>
        <v>26664</v>
      </c>
      <c r="H149" s="230">
        <f>прил.4!I161</f>
        <v>0</v>
      </c>
    </row>
    <row r="150" spans="1:8" s="129" customFormat="1" ht="47.25">
      <c r="A150" s="180" t="s">
        <v>639</v>
      </c>
      <c r="B150" s="245" t="s">
        <v>44</v>
      </c>
      <c r="C150" s="245" t="s">
        <v>50</v>
      </c>
      <c r="D150" s="245" t="s">
        <v>512</v>
      </c>
      <c r="E150" s="245" t="s">
        <v>481</v>
      </c>
      <c r="F150" s="230">
        <f>прил.4!G162+прил.4!G277+прил.4!G82</f>
        <v>50513.1</v>
      </c>
      <c r="G150" s="230">
        <f>прил.4!H162+прил.4!H277</f>
        <v>0</v>
      </c>
      <c r="H150" s="230">
        <f>прил.4!I162+прил.4!I277</f>
        <v>0</v>
      </c>
    </row>
    <row r="151" spans="1:8">
      <c r="A151" s="249" t="s">
        <v>51</v>
      </c>
      <c r="B151" s="248" t="s">
        <v>44</v>
      </c>
      <c r="C151" s="248" t="s">
        <v>12</v>
      </c>
      <c r="D151" s="248"/>
      <c r="E151" s="248"/>
      <c r="F151" s="181">
        <f>F154+F156+F158+F161+F152</f>
        <v>81287.199999999997</v>
      </c>
      <c r="G151" s="181">
        <f>G154+G156+G158+G161+G152</f>
        <v>76271.100000000006</v>
      </c>
      <c r="H151" s="181">
        <f>H154+H156+H158+H161+H152</f>
        <v>56271.1</v>
      </c>
    </row>
    <row r="152" spans="1:8" s="129" customFormat="1" ht="69" customHeight="1">
      <c r="A152" s="180" t="s">
        <v>640</v>
      </c>
      <c r="B152" s="245" t="s">
        <v>44</v>
      </c>
      <c r="C152" s="245" t="s">
        <v>12</v>
      </c>
      <c r="D152" s="245" t="s">
        <v>865</v>
      </c>
      <c r="E152" s="245"/>
      <c r="F152" s="230">
        <f>F153</f>
        <v>28990.1</v>
      </c>
      <c r="G152" s="230">
        <f>G153</f>
        <v>667.6</v>
      </c>
      <c r="H152" s="230">
        <f>H153</f>
        <v>667.6</v>
      </c>
    </row>
    <row r="153" spans="1:8" s="129" customFormat="1" ht="43.5" customHeight="1">
      <c r="A153" s="180" t="s">
        <v>478</v>
      </c>
      <c r="B153" s="245" t="s">
        <v>44</v>
      </c>
      <c r="C153" s="245" t="s">
        <v>12</v>
      </c>
      <c r="D153" s="245" t="s">
        <v>865</v>
      </c>
      <c r="E153" s="245" t="s">
        <v>477</v>
      </c>
      <c r="F153" s="230">
        <f>прил.4!G168</f>
        <v>28990.1</v>
      </c>
      <c r="G153" s="230">
        <f>прил.4!H168</f>
        <v>667.6</v>
      </c>
      <c r="H153" s="230">
        <f>прил.4!I168</f>
        <v>667.6</v>
      </c>
    </row>
    <row r="154" spans="1:8" ht="110.25">
      <c r="A154" s="180" t="s">
        <v>923</v>
      </c>
      <c r="B154" s="245" t="s">
        <v>44</v>
      </c>
      <c r="C154" s="245" t="s">
        <v>12</v>
      </c>
      <c r="D154" s="245" t="s">
        <v>513</v>
      </c>
      <c r="E154" s="245"/>
      <c r="F154" s="230">
        <f>F155</f>
        <v>7545.8</v>
      </c>
      <c r="G154" s="230">
        <f>G155</f>
        <v>4626.5</v>
      </c>
      <c r="H154" s="230">
        <f>H155</f>
        <v>4626.5</v>
      </c>
    </row>
    <row r="155" spans="1:8" ht="31.5">
      <c r="A155" s="180" t="s">
        <v>630</v>
      </c>
      <c r="B155" s="245" t="s">
        <v>44</v>
      </c>
      <c r="C155" s="245" t="s">
        <v>12</v>
      </c>
      <c r="D155" s="245" t="s">
        <v>513</v>
      </c>
      <c r="E155" s="245" t="s">
        <v>477</v>
      </c>
      <c r="F155" s="230">
        <f>прил.4!G170+прил.4!G85</f>
        <v>7545.8</v>
      </c>
      <c r="G155" s="230">
        <f>прил.4!H170+прил.4!H85</f>
        <v>4626.5</v>
      </c>
      <c r="H155" s="230">
        <f>прил.4!I170+прил.4!I85</f>
        <v>4626.5</v>
      </c>
    </row>
    <row r="156" spans="1:8" ht="117.75" customHeight="1">
      <c r="A156" s="180" t="s">
        <v>928</v>
      </c>
      <c r="B156" s="245" t="s">
        <v>44</v>
      </c>
      <c r="C156" s="245" t="s">
        <v>12</v>
      </c>
      <c r="D156" s="245" t="s">
        <v>514</v>
      </c>
      <c r="E156" s="245"/>
      <c r="F156" s="230">
        <f>F157</f>
        <v>20497.7</v>
      </c>
      <c r="G156" s="230">
        <f>G157</f>
        <v>13690</v>
      </c>
      <c r="H156" s="230">
        <f>H157</f>
        <v>13690</v>
      </c>
    </row>
    <row r="157" spans="1:8" ht="39.75" customHeight="1">
      <c r="A157" s="180" t="s">
        <v>630</v>
      </c>
      <c r="B157" s="245" t="s">
        <v>44</v>
      </c>
      <c r="C157" s="245" t="s">
        <v>12</v>
      </c>
      <c r="D157" s="245" t="s">
        <v>514</v>
      </c>
      <c r="E157" s="245" t="s">
        <v>477</v>
      </c>
      <c r="F157" s="230">
        <f>прил.4!G172</f>
        <v>20497.7</v>
      </c>
      <c r="G157" s="230">
        <f>прил.4!H172</f>
        <v>13690</v>
      </c>
      <c r="H157" s="230">
        <f>прил.4!I172</f>
        <v>13690</v>
      </c>
    </row>
    <row r="158" spans="1:8" ht="135.75" customHeight="1">
      <c r="A158" s="180" t="s">
        <v>929</v>
      </c>
      <c r="B158" s="245" t="s">
        <v>44</v>
      </c>
      <c r="C158" s="245" t="s">
        <v>12</v>
      </c>
      <c r="D158" s="245" t="s">
        <v>515</v>
      </c>
      <c r="E158" s="245"/>
      <c r="F158" s="230">
        <f>F159+F160</f>
        <v>3870</v>
      </c>
      <c r="G158" s="230">
        <f>G159+G160</f>
        <v>6000</v>
      </c>
      <c r="H158" s="230">
        <f>H159+H160</f>
        <v>6000</v>
      </c>
    </row>
    <row r="159" spans="1:8" ht="38.25" customHeight="1">
      <c r="A159" s="180" t="s">
        <v>630</v>
      </c>
      <c r="B159" s="245" t="s">
        <v>44</v>
      </c>
      <c r="C159" s="245" t="s">
        <v>12</v>
      </c>
      <c r="D159" s="245" t="s">
        <v>515</v>
      </c>
      <c r="E159" s="245" t="s">
        <v>477</v>
      </c>
      <c r="F159" s="230">
        <f>прил.4!G174</f>
        <v>670</v>
      </c>
      <c r="G159" s="230">
        <f>прил.4!H174</f>
        <v>0</v>
      </c>
      <c r="H159" s="230">
        <f>прил.4!I174</f>
        <v>0</v>
      </c>
    </row>
    <row r="160" spans="1:8" ht="54" customHeight="1">
      <c r="A160" s="180" t="s">
        <v>485</v>
      </c>
      <c r="B160" s="245" t="s">
        <v>44</v>
      </c>
      <c r="C160" s="245" t="s">
        <v>12</v>
      </c>
      <c r="D160" s="245" t="s">
        <v>515</v>
      </c>
      <c r="E160" s="245" t="s">
        <v>484</v>
      </c>
      <c r="F160" s="230">
        <f>прил.4!G175</f>
        <v>3200</v>
      </c>
      <c r="G160" s="230">
        <f>прил.4!H175</f>
        <v>6000</v>
      </c>
      <c r="H160" s="230">
        <f>прил.4!I175</f>
        <v>6000</v>
      </c>
    </row>
    <row r="161" spans="1:8" ht="126">
      <c r="A161" s="180" t="s">
        <v>930</v>
      </c>
      <c r="B161" s="245" t="s">
        <v>44</v>
      </c>
      <c r="C161" s="245" t="s">
        <v>12</v>
      </c>
      <c r="D161" s="245" t="s">
        <v>516</v>
      </c>
      <c r="E161" s="245"/>
      <c r="F161" s="230">
        <f>F162</f>
        <v>20383.599999999999</v>
      </c>
      <c r="G161" s="230">
        <f>G162</f>
        <v>51287</v>
      </c>
      <c r="H161" s="230">
        <f>H162</f>
        <v>31287</v>
      </c>
    </row>
    <row r="162" spans="1:8" ht="39" customHeight="1">
      <c r="A162" s="180" t="s">
        <v>630</v>
      </c>
      <c r="B162" s="245" t="s">
        <v>44</v>
      </c>
      <c r="C162" s="245" t="s">
        <v>12</v>
      </c>
      <c r="D162" s="245" t="s">
        <v>516</v>
      </c>
      <c r="E162" s="245" t="s">
        <v>477</v>
      </c>
      <c r="F162" s="230">
        <f>прил.4!G177</f>
        <v>20383.599999999999</v>
      </c>
      <c r="G162" s="230">
        <f>прил.4!H177</f>
        <v>51287</v>
      </c>
      <c r="H162" s="230">
        <f>прил.4!I177</f>
        <v>31287</v>
      </c>
    </row>
    <row r="163" spans="1:8" ht="36" customHeight="1">
      <c r="A163" s="246" t="s">
        <v>62</v>
      </c>
      <c r="B163" s="248" t="s">
        <v>44</v>
      </c>
      <c r="C163" s="248" t="s">
        <v>44</v>
      </c>
      <c r="D163" s="248"/>
      <c r="E163" s="248"/>
      <c r="F163" s="181">
        <f>F164+F168+F170</f>
        <v>37522.800000000003</v>
      </c>
      <c r="G163" s="181">
        <f>G164+G168+G170</f>
        <v>32145</v>
      </c>
      <c r="H163" s="181">
        <f>H164+H168+H170</f>
        <v>32145</v>
      </c>
    </row>
    <row r="164" spans="1:8" ht="141.75" customHeight="1">
      <c r="A164" s="180" t="s">
        <v>931</v>
      </c>
      <c r="B164" s="245" t="s">
        <v>44</v>
      </c>
      <c r="C164" s="245" t="s">
        <v>44</v>
      </c>
      <c r="D164" s="243" t="s">
        <v>591</v>
      </c>
      <c r="E164" s="245"/>
      <c r="F164" s="230">
        <f>F165+F166+F167</f>
        <v>36602.800000000003</v>
      </c>
      <c r="G164" s="230">
        <f>G165+G166+G167</f>
        <v>32145</v>
      </c>
      <c r="H164" s="230">
        <f>H165+H166+H167</f>
        <v>32145</v>
      </c>
    </row>
    <row r="165" spans="1:8" ht="98.25" customHeight="1">
      <c r="A165" s="180" t="s">
        <v>482</v>
      </c>
      <c r="B165" s="245" t="s">
        <v>44</v>
      </c>
      <c r="C165" s="245" t="s">
        <v>44</v>
      </c>
      <c r="D165" s="243" t="s">
        <v>591</v>
      </c>
      <c r="E165" s="245" t="s">
        <v>483</v>
      </c>
      <c r="F165" s="230">
        <f>прил.4!G180</f>
        <v>27030.2</v>
      </c>
      <c r="G165" s="230">
        <f>прил.4!H180</f>
        <v>27257.9</v>
      </c>
      <c r="H165" s="230">
        <f>прил.4!I180</f>
        <v>27257.9</v>
      </c>
    </row>
    <row r="166" spans="1:8" ht="39.75" customHeight="1">
      <c r="A166" s="180" t="s">
        <v>630</v>
      </c>
      <c r="B166" s="245" t="s">
        <v>44</v>
      </c>
      <c r="C166" s="245" t="s">
        <v>44</v>
      </c>
      <c r="D166" s="243" t="s">
        <v>591</v>
      </c>
      <c r="E166" s="245" t="s">
        <v>477</v>
      </c>
      <c r="F166" s="230">
        <f>прил.4!G181</f>
        <v>4551.6000000000004</v>
      </c>
      <c r="G166" s="230">
        <f>прил.4!H181</f>
        <v>4095</v>
      </c>
      <c r="H166" s="230">
        <f>прил.4!I181</f>
        <v>4095</v>
      </c>
    </row>
    <row r="167" spans="1:8" ht="23.25" customHeight="1">
      <c r="A167" s="180" t="s">
        <v>470</v>
      </c>
      <c r="B167" s="245" t="s">
        <v>44</v>
      </c>
      <c r="C167" s="245" t="s">
        <v>44</v>
      </c>
      <c r="D167" s="243" t="s">
        <v>591</v>
      </c>
      <c r="E167" s="245" t="s">
        <v>471</v>
      </c>
      <c r="F167" s="230">
        <f>прил.4!G182</f>
        <v>5021</v>
      </c>
      <c r="G167" s="230">
        <f>прил.4!H182</f>
        <v>792.1</v>
      </c>
      <c r="H167" s="230">
        <f>прил.4!I182</f>
        <v>792.1</v>
      </c>
    </row>
    <row r="168" spans="1:8" ht="67.5" customHeight="1">
      <c r="A168" s="180" t="s">
        <v>878</v>
      </c>
      <c r="B168" s="245" t="s">
        <v>44</v>
      </c>
      <c r="C168" s="245" t="s">
        <v>44</v>
      </c>
      <c r="D168" s="245" t="s">
        <v>512</v>
      </c>
      <c r="E168" s="245"/>
      <c r="F168" s="230">
        <f>F169</f>
        <v>400</v>
      </c>
      <c r="G168" s="230">
        <f>G169</f>
        <v>0</v>
      </c>
      <c r="H168" s="230">
        <f>H169</f>
        <v>0</v>
      </c>
    </row>
    <row r="169" spans="1:8" ht="21.75" customHeight="1">
      <c r="A169" s="180" t="s">
        <v>470</v>
      </c>
      <c r="B169" s="245" t="s">
        <v>44</v>
      </c>
      <c r="C169" s="245" t="s">
        <v>44</v>
      </c>
      <c r="D169" s="245" t="s">
        <v>512</v>
      </c>
      <c r="E169" s="245" t="s">
        <v>481</v>
      </c>
      <c r="F169" s="230">
        <f>прил.4!G280</f>
        <v>400</v>
      </c>
      <c r="G169" s="230">
        <f>прил.4!H280</f>
        <v>0</v>
      </c>
      <c r="H169" s="230">
        <f>прил.4!I280</f>
        <v>0</v>
      </c>
    </row>
    <row r="170" spans="1:8" ht="149.25" customHeight="1">
      <c r="A170" s="180" t="s">
        <v>648</v>
      </c>
      <c r="B170" s="245" t="s">
        <v>44</v>
      </c>
      <c r="C170" s="245" t="s">
        <v>44</v>
      </c>
      <c r="D170" s="245" t="s">
        <v>535</v>
      </c>
      <c r="E170" s="245"/>
      <c r="F170" s="230">
        <f>F171</f>
        <v>520</v>
      </c>
      <c r="G170" s="230">
        <f>G171</f>
        <v>0</v>
      </c>
      <c r="H170" s="230">
        <f>H171</f>
        <v>0</v>
      </c>
    </row>
    <row r="171" spans="1:8">
      <c r="A171" s="180" t="s">
        <v>470</v>
      </c>
      <c r="B171" s="245" t="s">
        <v>44</v>
      </c>
      <c r="C171" s="245" t="s">
        <v>44</v>
      </c>
      <c r="D171" s="245" t="s">
        <v>535</v>
      </c>
      <c r="E171" s="245" t="s">
        <v>481</v>
      </c>
      <c r="F171" s="230">
        <f>прил.4!G282</f>
        <v>520</v>
      </c>
      <c r="G171" s="230">
        <f>прил.4!H282</f>
        <v>0</v>
      </c>
      <c r="H171" s="230">
        <f>прил.4!I282</f>
        <v>0</v>
      </c>
    </row>
    <row r="172" spans="1:8">
      <c r="A172" s="246" t="s">
        <v>63</v>
      </c>
      <c r="B172" s="248" t="s">
        <v>64</v>
      </c>
      <c r="C172" s="248" t="s">
        <v>469</v>
      </c>
      <c r="D172" s="248"/>
      <c r="E172" s="248"/>
      <c r="F172" s="181">
        <f>F173+F189+F209+F222+F225+F239</f>
        <v>2407953.9</v>
      </c>
      <c r="G172" s="181">
        <f>G173+G189+G209+G222+G225+G239</f>
        <v>2380029.9</v>
      </c>
      <c r="H172" s="181">
        <f>H173+H189+H209+H222+H225+H239</f>
        <v>2366051.7000000002</v>
      </c>
    </row>
    <row r="173" spans="1:8">
      <c r="A173" s="249" t="s">
        <v>421</v>
      </c>
      <c r="B173" s="248" t="s">
        <v>64</v>
      </c>
      <c r="C173" s="248" t="s">
        <v>10</v>
      </c>
      <c r="D173" s="245"/>
      <c r="E173" s="245"/>
      <c r="F173" s="181">
        <f>F174+F178+F182+F184+F176</f>
        <v>1010156.6</v>
      </c>
      <c r="G173" s="181">
        <f>G174+G178+G182+G184+G176</f>
        <v>1054849</v>
      </c>
      <c r="H173" s="181">
        <f>H174+H178+H182+H184+H176</f>
        <v>1052705.5</v>
      </c>
    </row>
    <row r="174" spans="1:8" ht="231" customHeight="1">
      <c r="A174" s="180" t="s">
        <v>602</v>
      </c>
      <c r="B174" s="245" t="s">
        <v>64</v>
      </c>
      <c r="C174" s="245" t="s">
        <v>10</v>
      </c>
      <c r="D174" s="245" t="s">
        <v>537</v>
      </c>
      <c r="E174" s="245"/>
      <c r="F174" s="230">
        <f>F175</f>
        <v>717234.6</v>
      </c>
      <c r="G174" s="230">
        <f>G175</f>
        <v>710238.9</v>
      </c>
      <c r="H174" s="230">
        <f>H175</f>
        <v>710238.9</v>
      </c>
    </row>
    <row r="175" spans="1:8" ht="104.25" customHeight="1">
      <c r="A175" s="180" t="s">
        <v>482</v>
      </c>
      <c r="B175" s="245" t="s">
        <v>64</v>
      </c>
      <c r="C175" s="245" t="s">
        <v>10</v>
      </c>
      <c r="D175" s="245" t="s">
        <v>537</v>
      </c>
      <c r="E175" s="245" t="s">
        <v>483</v>
      </c>
      <c r="F175" s="230">
        <f>прил.4!G287</f>
        <v>717234.6</v>
      </c>
      <c r="G175" s="230">
        <f>прил.4!H287</f>
        <v>710238.9</v>
      </c>
      <c r="H175" s="230">
        <f>прил.4!I287</f>
        <v>710238.9</v>
      </c>
    </row>
    <row r="176" spans="1:8" ht="209.25" customHeight="1">
      <c r="A176" s="180" t="s">
        <v>627</v>
      </c>
      <c r="B176" s="245" t="s">
        <v>64</v>
      </c>
      <c r="C176" s="245" t="s">
        <v>10</v>
      </c>
      <c r="D176" s="245" t="s">
        <v>915</v>
      </c>
      <c r="E176" s="245"/>
      <c r="F176" s="230">
        <f>F177</f>
        <v>2468.1</v>
      </c>
      <c r="G176" s="230">
        <f>G177</f>
        <v>7781.2</v>
      </c>
      <c r="H176" s="230">
        <f>H177</f>
        <v>7781.2</v>
      </c>
    </row>
    <row r="177" spans="1:8" ht="37.5" customHeight="1">
      <c r="A177" s="180" t="s">
        <v>630</v>
      </c>
      <c r="B177" s="245" t="s">
        <v>64</v>
      </c>
      <c r="C177" s="245" t="s">
        <v>10</v>
      </c>
      <c r="D177" s="245" t="s">
        <v>915</v>
      </c>
      <c r="E177" s="245" t="s">
        <v>477</v>
      </c>
      <c r="F177" s="230">
        <f>прил.4!G289</f>
        <v>2468.1</v>
      </c>
      <c r="G177" s="230">
        <f>прил.4!H289</f>
        <v>7781.2</v>
      </c>
      <c r="H177" s="230">
        <f>прил.4!I289</f>
        <v>7781.2</v>
      </c>
    </row>
    <row r="178" spans="1:8" ht="118.5" customHeight="1">
      <c r="A178" s="180" t="s">
        <v>940</v>
      </c>
      <c r="B178" s="245" t="s">
        <v>64</v>
      </c>
      <c r="C178" s="245" t="s">
        <v>10</v>
      </c>
      <c r="D178" s="245" t="s">
        <v>538</v>
      </c>
      <c r="E178" s="245"/>
      <c r="F178" s="230">
        <f>SUM(F179:F181)</f>
        <v>280142.40000000002</v>
      </c>
      <c r="G178" s="230">
        <f>SUM(G179:G181)</f>
        <v>317299.8</v>
      </c>
      <c r="H178" s="230">
        <f>SUM(H180:H181)</f>
        <v>319267.40000000002</v>
      </c>
    </row>
    <row r="179" spans="1:8" s="129" customFormat="1" ht="102" customHeight="1">
      <c r="A179" s="180" t="s">
        <v>482</v>
      </c>
      <c r="B179" s="245" t="s">
        <v>64</v>
      </c>
      <c r="C179" s="245" t="s">
        <v>10</v>
      </c>
      <c r="D179" s="245" t="s">
        <v>538</v>
      </c>
      <c r="E179" s="245" t="s">
        <v>483</v>
      </c>
      <c r="F179" s="230">
        <f>прил.4!G291</f>
        <v>1601.9</v>
      </c>
      <c r="G179" s="230">
        <f>прил.4!H291</f>
        <v>0</v>
      </c>
      <c r="H179" s="230">
        <f>прил.4!I291</f>
        <v>0</v>
      </c>
    </row>
    <row r="180" spans="1:8" ht="39" customHeight="1">
      <c r="A180" s="180" t="s">
        <v>630</v>
      </c>
      <c r="B180" s="245" t="s">
        <v>64</v>
      </c>
      <c r="C180" s="245" t="s">
        <v>10</v>
      </c>
      <c r="D180" s="245" t="s">
        <v>538</v>
      </c>
      <c r="E180" s="245" t="s">
        <v>477</v>
      </c>
      <c r="F180" s="230">
        <f>прил.4!G292</f>
        <v>265368.2</v>
      </c>
      <c r="G180" s="230">
        <f>прил.4!H292</f>
        <v>304051.3</v>
      </c>
      <c r="H180" s="230">
        <f>прил.4!I292</f>
        <v>306018.90000000002</v>
      </c>
    </row>
    <row r="181" spans="1:8" ht="22.5" customHeight="1">
      <c r="A181" s="180" t="s">
        <v>470</v>
      </c>
      <c r="B181" s="245" t="s">
        <v>64</v>
      </c>
      <c r="C181" s="245" t="s">
        <v>10</v>
      </c>
      <c r="D181" s="245" t="s">
        <v>538</v>
      </c>
      <c r="E181" s="245" t="s">
        <v>471</v>
      </c>
      <c r="F181" s="230">
        <f>прил.4!G293</f>
        <v>13172.3</v>
      </c>
      <c r="G181" s="230">
        <f>прил.4!H293</f>
        <v>13248.5</v>
      </c>
      <c r="H181" s="230">
        <f>прил.4!I293</f>
        <v>13248.5</v>
      </c>
    </row>
    <row r="182" spans="1:8" ht="71.25" customHeight="1">
      <c r="A182" s="180" t="s">
        <v>605</v>
      </c>
      <c r="B182" s="245" t="s">
        <v>64</v>
      </c>
      <c r="C182" s="245" t="s">
        <v>10</v>
      </c>
      <c r="D182" s="251" t="s">
        <v>517</v>
      </c>
      <c r="E182" s="245"/>
      <c r="F182" s="230">
        <f>F183</f>
        <v>7908.6</v>
      </c>
      <c r="G182" s="230">
        <f>G183</f>
        <v>19529.099999999999</v>
      </c>
      <c r="H182" s="230">
        <f>H183</f>
        <v>15418</v>
      </c>
    </row>
    <row r="183" spans="1:8" ht="31.5">
      <c r="A183" s="180" t="s">
        <v>630</v>
      </c>
      <c r="B183" s="245" t="s">
        <v>64</v>
      </c>
      <c r="C183" s="245" t="s">
        <v>10</v>
      </c>
      <c r="D183" s="251" t="s">
        <v>517</v>
      </c>
      <c r="E183" s="245" t="s">
        <v>477</v>
      </c>
      <c r="F183" s="230">
        <f>прил.4!G295</f>
        <v>7908.6</v>
      </c>
      <c r="G183" s="230">
        <f>прил.4!H295</f>
        <v>19529.099999999999</v>
      </c>
      <c r="H183" s="230">
        <f>прил.4!I295</f>
        <v>15418</v>
      </c>
    </row>
    <row r="184" spans="1:8" ht="64.5" customHeight="1">
      <c r="A184" s="180" t="s">
        <v>607</v>
      </c>
      <c r="B184" s="245" t="s">
        <v>64</v>
      </c>
      <c r="C184" s="245" t="s">
        <v>10</v>
      </c>
      <c r="D184" s="243" t="s">
        <v>557</v>
      </c>
      <c r="E184" s="245"/>
      <c r="F184" s="230">
        <f>F187+F185</f>
        <v>2402.8999999999996</v>
      </c>
      <c r="G184" s="230">
        <f>G187+G185</f>
        <v>0</v>
      </c>
      <c r="H184" s="230">
        <f>H187</f>
        <v>0</v>
      </c>
    </row>
    <row r="185" spans="1:8" s="129" customFormat="1" ht="66.75" customHeight="1">
      <c r="A185" s="180" t="s">
        <v>664</v>
      </c>
      <c r="B185" s="245" t="s">
        <v>64</v>
      </c>
      <c r="C185" s="245" t="s">
        <v>10</v>
      </c>
      <c r="D185" s="251" t="s">
        <v>645</v>
      </c>
      <c r="E185" s="245"/>
      <c r="F185" s="230">
        <f>F186</f>
        <v>221.2</v>
      </c>
      <c r="G185" s="230">
        <f>G186</f>
        <v>0</v>
      </c>
      <c r="H185" s="230">
        <f>H186</f>
        <v>0</v>
      </c>
    </row>
    <row r="186" spans="1:8" s="129" customFormat="1" ht="45" customHeight="1">
      <c r="A186" s="180" t="s">
        <v>630</v>
      </c>
      <c r="B186" s="245" t="s">
        <v>64</v>
      </c>
      <c r="C186" s="245" t="s">
        <v>10</v>
      </c>
      <c r="D186" s="251" t="s">
        <v>645</v>
      </c>
      <c r="E186" s="245" t="s">
        <v>477</v>
      </c>
      <c r="F186" s="230">
        <f>прил.4!G298</f>
        <v>221.2</v>
      </c>
      <c r="G186" s="230">
        <f>прил.4!H298</f>
        <v>0</v>
      </c>
      <c r="H186" s="230">
        <f>прил.4!I298</f>
        <v>0</v>
      </c>
    </row>
    <row r="187" spans="1:8" ht="59.25" customHeight="1">
      <c r="A187" s="180" t="s">
        <v>674</v>
      </c>
      <c r="B187" s="245" t="s">
        <v>64</v>
      </c>
      <c r="C187" s="245" t="s">
        <v>10</v>
      </c>
      <c r="D187" s="245" t="s">
        <v>675</v>
      </c>
      <c r="E187" s="245"/>
      <c r="F187" s="230">
        <f>F188</f>
        <v>2181.6999999999998</v>
      </c>
      <c r="G187" s="230">
        <f>G188</f>
        <v>0</v>
      </c>
      <c r="H187" s="230">
        <f>H188</f>
        <v>0</v>
      </c>
    </row>
    <row r="188" spans="1:8" ht="37.5" customHeight="1">
      <c r="A188" s="180" t="s">
        <v>630</v>
      </c>
      <c r="B188" s="245" t="s">
        <v>64</v>
      </c>
      <c r="C188" s="245" t="s">
        <v>10</v>
      </c>
      <c r="D188" s="245" t="s">
        <v>675</v>
      </c>
      <c r="E188" s="245" t="s">
        <v>477</v>
      </c>
      <c r="F188" s="230">
        <f>прил.4!G300</f>
        <v>2181.6999999999998</v>
      </c>
      <c r="G188" s="230">
        <f>прил.4!H300</f>
        <v>0</v>
      </c>
      <c r="H188" s="230">
        <f>прил.4!I300</f>
        <v>0</v>
      </c>
    </row>
    <row r="189" spans="1:8" ht="22.5" customHeight="1">
      <c r="A189" s="249" t="s">
        <v>65</v>
      </c>
      <c r="B189" s="248" t="s">
        <v>64</v>
      </c>
      <c r="C189" s="248" t="s">
        <v>50</v>
      </c>
      <c r="D189" s="248"/>
      <c r="E189" s="248"/>
      <c r="F189" s="181">
        <f>F190+F194+F196+F204+F200+F202+F192</f>
        <v>1246960.9000000001</v>
      </c>
      <c r="G189" s="181">
        <f>G190+G194+G196+G204+G200+G202+G192</f>
        <v>1171293.0999999999</v>
      </c>
      <c r="H189" s="181">
        <f>H190+H194+H196+H205+H200+H202+H192</f>
        <v>1159933.3999999999</v>
      </c>
    </row>
    <row r="190" spans="1:8" ht="224.25" customHeight="1">
      <c r="A190" s="180" t="s">
        <v>602</v>
      </c>
      <c r="B190" s="245" t="s">
        <v>64</v>
      </c>
      <c r="C190" s="245" t="s">
        <v>50</v>
      </c>
      <c r="D190" s="245" t="s">
        <v>540</v>
      </c>
      <c r="E190" s="245"/>
      <c r="F190" s="230">
        <f>F191</f>
        <v>946144.1</v>
      </c>
      <c r="G190" s="230">
        <f>G191</f>
        <v>955053</v>
      </c>
      <c r="H190" s="230">
        <f>H191</f>
        <v>955053</v>
      </c>
    </row>
    <row r="191" spans="1:8" ht="102.75" customHeight="1">
      <c r="A191" s="180" t="s">
        <v>482</v>
      </c>
      <c r="B191" s="245" t="s">
        <v>64</v>
      </c>
      <c r="C191" s="245" t="s">
        <v>50</v>
      </c>
      <c r="D191" s="245" t="s">
        <v>540</v>
      </c>
      <c r="E191" s="245" t="s">
        <v>483</v>
      </c>
      <c r="F191" s="230">
        <f>прил.4!G303</f>
        <v>946144.1</v>
      </c>
      <c r="G191" s="230">
        <f>прил.4!H303</f>
        <v>955053</v>
      </c>
      <c r="H191" s="230">
        <f>прил.4!I303</f>
        <v>955053</v>
      </c>
    </row>
    <row r="192" spans="1:8" ht="54" customHeight="1">
      <c r="A192" s="180" t="s">
        <v>681</v>
      </c>
      <c r="B192" s="245" t="s">
        <v>64</v>
      </c>
      <c r="C192" s="245" t="s">
        <v>50</v>
      </c>
      <c r="D192" s="245" t="s">
        <v>680</v>
      </c>
      <c r="E192" s="245"/>
      <c r="F192" s="230">
        <f>F193</f>
        <v>8.3000000000000007</v>
      </c>
      <c r="G192" s="230">
        <f>G193</f>
        <v>0</v>
      </c>
      <c r="H192" s="230">
        <f>H193</f>
        <v>0</v>
      </c>
    </row>
    <row r="193" spans="1:8" ht="104.25" customHeight="1">
      <c r="A193" s="180" t="s">
        <v>482</v>
      </c>
      <c r="B193" s="245" t="s">
        <v>64</v>
      </c>
      <c r="C193" s="245" t="s">
        <v>50</v>
      </c>
      <c r="D193" s="245" t="s">
        <v>680</v>
      </c>
      <c r="E193" s="245" t="s">
        <v>483</v>
      </c>
      <c r="F193" s="230">
        <f>прил.4!G305</f>
        <v>8.3000000000000007</v>
      </c>
      <c r="G193" s="230">
        <f>прил.4!H305</f>
        <v>0</v>
      </c>
      <c r="H193" s="230">
        <f>прил.4!I305</f>
        <v>0</v>
      </c>
    </row>
    <row r="194" spans="1:8" ht="162" customHeight="1">
      <c r="A194" s="180" t="s">
        <v>603</v>
      </c>
      <c r="B194" s="245" t="s">
        <v>64</v>
      </c>
      <c r="C194" s="245" t="s">
        <v>50</v>
      </c>
      <c r="D194" s="245" t="s">
        <v>541</v>
      </c>
      <c r="E194" s="245"/>
      <c r="F194" s="230">
        <f>F195</f>
        <v>71764.3</v>
      </c>
      <c r="G194" s="230">
        <f>G195</f>
        <v>13665.2</v>
      </c>
      <c r="H194" s="230">
        <f>H195</f>
        <v>13665.2</v>
      </c>
    </row>
    <row r="195" spans="1:8" ht="31.5">
      <c r="A195" s="180" t="s">
        <v>630</v>
      </c>
      <c r="B195" s="245" t="s">
        <v>64</v>
      </c>
      <c r="C195" s="245" t="s">
        <v>50</v>
      </c>
      <c r="D195" s="245" t="s">
        <v>541</v>
      </c>
      <c r="E195" s="245" t="s">
        <v>477</v>
      </c>
      <c r="F195" s="230">
        <f>прил.4!G307</f>
        <v>71764.3</v>
      </c>
      <c r="G195" s="230">
        <f>прил.4!H307</f>
        <v>13665.2</v>
      </c>
      <c r="H195" s="230">
        <f>прил.4!I307</f>
        <v>13665.2</v>
      </c>
    </row>
    <row r="196" spans="1:8" ht="117" customHeight="1">
      <c r="A196" s="180" t="s">
        <v>940</v>
      </c>
      <c r="B196" s="245" t="s">
        <v>64</v>
      </c>
      <c r="C196" s="245" t="s">
        <v>50</v>
      </c>
      <c r="D196" s="245" t="s">
        <v>539</v>
      </c>
      <c r="E196" s="245"/>
      <c r="F196" s="230">
        <f>SUM(F197:F199)</f>
        <v>214693.40000000002</v>
      </c>
      <c r="G196" s="230">
        <f>SUM(G197:G199)</f>
        <v>181434.8</v>
      </c>
      <c r="H196" s="230">
        <f>SUM(H197:H199)</f>
        <v>172624.1</v>
      </c>
    </row>
    <row r="197" spans="1:8" s="129" customFormat="1" ht="110.25" customHeight="1">
      <c r="A197" s="180" t="s">
        <v>482</v>
      </c>
      <c r="B197" s="245" t="s">
        <v>64</v>
      </c>
      <c r="C197" s="245" t="s">
        <v>50</v>
      </c>
      <c r="D197" s="245" t="s">
        <v>539</v>
      </c>
      <c r="E197" s="245" t="s">
        <v>483</v>
      </c>
      <c r="F197" s="230">
        <f>прил.4!G309</f>
        <v>7227.2</v>
      </c>
      <c r="G197" s="230">
        <f>прил.4!H309</f>
        <v>0</v>
      </c>
      <c r="H197" s="230">
        <f>прил.4!I309</f>
        <v>0</v>
      </c>
    </row>
    <row r="198" spans="1:8" ht="39.75" customHeight="1">
      <c r="A198" s="180" t="s">
        <v>630</v>
      </c>
      <c r="B198" s="245" t="s">
        <v>64</v>
      </c>
      <c r="C198" s="245" t="s">
        <v>50</v>
      </c>
      <c r="D198" s="245" t="s">
        <v>539</v>
      </c>
      <c r="E198" s="245" t="s">
        <v>477</v>
      </c>
      <c r="F198" s="230">
        <f>прил.4!G310</f>
        <v>183668.6</v>
      </c>
      <c r="G198" s="230">
        <f>прил.4!H310</f>
        <v>159667.79999999999</v>
      </c>
      <c r="H198" s="230">
        <f>прил.4!I310</f>
        <v>150857.1</v>
      </c>
    </row>
    <row r="199" spans="1:8" ht="21.75" customHeight="1">
      <c r="A199" s="180" t="s">
        <v>470</v>
      </c>
      <c r="B199" s="245" t="s">
        <v>64</v>
      </c>
      <c r="C199" s="245" t="s">
        <v>50</v>
      </c>
      <c r="D199" s="245" t="s">
        <v>539</v>
      </c>
      <c r="E199" s="245" t="s">
        <v>471</v>
      </c>
      <c r="F199" s="230">
        <f>прил.4!G311</f>
        <v>23797.599999999999</v>
      </c>
      <c r="G199" s="230">
        <f>прил.4!H311</f>
        <v>21767</v>
      </c>
      <c r="H199" s="230">
        <f>прил.4!I311</f>
        <v>21767</v>
      </c>
    </row>
    <row r="200" spans="1:8" ht="85.5" customHeight="1">
      <c r="A200" s="180" t="s">
        <v>677</v>
      </c>
      <c r="B200" s="245" t="s">
        <v>64</v>
      </c>
      <c r="C200" s="245" t="s">
        <v>50</v>
      </c>
      <c r="D200" s="245" t="s">
        <v>679</v>
      </c>
      <c r="E200" s="245"/>
      <c r="F200" s="230">
        <f>F201</f>
        <v>1211.3</v>
      </c>
      <c r="G200" s="230">
        <f>G201</f>
        <v>839.4</v>
      </c>
      <c r="H200" s="230">
        <f>H201</f>
        <v>839.4</v>
      </c>
    </row>
    <row r="201" spans="1:8" ht="31.5">
      <c r="A201" s="180" t="s">
        <v>630</v>
      </c>
      <c r="B201" s="245" t="s">
        <v>64</v>
      </c>
      <c r="C201" s="245" t="s">
        <v>50</v>
      </c>
      <c r="D201" s="245" t="s">
        <v>679</v>
      </c>
      <c r="E201" s="245" t="s">
        <v>477</v>
      </c>
      <c r="F201" s="230">
        <f>прил.4!G313</f>
        <v>1211.3</v>
      </c>
      <c r="G201" s="230">
        <f>прил.4!H313</f>
        <v>839.4</v>
      </c>
      <c r="H201" s="230">
        <f>прил.4!I313</f>
        <v>839.4</v>
      </c>
    </row>
    <row r="202" spans="1:8" ht="72.75" customHeight="1">
      <c r="A202" s="180" t="s">
        <v>605</v>
      </c>
      <c r="B202" s="245" t="s">
        <v>64</v>
      </c>
      <c r="C202" s="245" t="s">
        <v>50</v>
      </c>
      <c r="D202" s="251" t="s">
        <v>517</v>
      </c>
      <c r="E202" s="245"/>
      <c r="F202" s="230">
        <f>F203</f>
        <v>13139.5</v>
      </c>
      <c r="G202" s="230">
        <f>G203</f>
        <v>17751.7</v>
      </c>
      <c r="H202" s="230">
        <f>H203</f>
        <v>17751.7</v>
      </c>
    </row>
    <row r="203" spans="1:8" ht="31.5">
      <c r="A203" s="180" t="s">
        <v>630</v>
      </c>
      <c r="B203" s="245" t="s">
        <v>64</v>
      </c>
      <c r="C203" s="245" t="s">
        <v>50</v>
      </c>
      <c r="D203" s="251" t="s">
        <v>517</v>
      </c>
      <c r="E203" s="245" t="s">
        <v>477</v>
      </c>
      <c r="F203" s="230">
        <f>прил.4!G315</f>
        <v>13139.5</v>
      </c>
      <c r="G203" s="230">
        <f>прил.4!H315</f>
        <v>17751.7</v>
      </c>
      <c r="H203" s="230">
        <f>прил.4!I315</f>
        <v>17751.7</v>
      </c>
    </row>
    <row r="204" spans="1:8" ht="66" customHeight="1">
      <c r="A204" s="180" t="s">
        <v>607</v>
      </c>
      <c r="B204" s="245" t="s">
        <v>64</v>
      </c>
      <c r="C204" s="245" t="s">
        <v>50</v>
      </c>
      <c r="D204" s="243" t="s">
        <v>557</v>
      </c>
      <c r="E204" s="245"/>
      <c r="F204" s="230">
        <f>F205+F207</f>
        <v>0</v>
      </c>
      <c r="G204" s="230">
        <f>G205+G207</f>
        <v>2549</v>
      </c>
      <c r="H204" s="230">
        <f>H205+H207</f>
        <v>0</v>
      </c>
    </row>
    <row r="205" spans="1:8" ht="73.5" customHeight="1">
      <c r="A205" s="180" t="s">
        <v>664</v>
      </c>
      <c r="B205" s="245" t="s">
        <v>64</v>
      </c>
      <c r="C205" s="245" t="s">
        <v>50</v>
      </c>
      <c r="D205" s="243" t="s">
        <v>645</v>
      </c>
      <c r="E205" s="245"/>
      <c r="F205" s="230">
        <f>F206</f>
        <v>0</v>
      </c>
      <c r="G205" s="230">
        <f>G206</f>
        <v>400</v>
      </c>
      <c r="H205" s="230">
        <f>H206</f>
        <v>0</v>
      </c>
    </row>
    <row r="206" spans="1:8" ht="42.75" customHeight="1">
      <c r="A206" s="180" t="s">
        <v>630</v>
      </c>
      <c r="B206" s="245" t="s">
        <v>64</v>
      </c>
      <c r="C206" s="245" t="s">
        <v>50</v>
      </c>
      <c r="D206" s="243" t="s">
        <v>645</v>
      </c>
      <c r="E206" s="245" t="s">
        <v>477</v>
      </c>
      <c r="F206" s="230">
        <f>прил.4!G320</f>
        <v>0</v>
      </c>
      <c r="G206" s="230">
        <f>прил.4!H320</f>
        <v>400</v>
      </c>
      <c r="H206" s="230">
        <f>прил.4!I320</f>
        <v>0</v>
      </c>
    </row>
    <row r="207" spans="1:8" ht="31.5">
      <c r="A207" s="180" t="s">
        <v>909</v>
      </c>
      <c r="B207" s="245" t="s">
        <v>64</v>
      </c>
      <c r="C207" s="245" t="s">
        <v>50</v>
      </c>
      <c r="D207" s="245" t="s">
        <v>675</v>
      </c>
      <c r="E207" s="245"/>
      <c r="F207" s="230">
        <f>F208</f>
        <v>0</v>
      </c>
      <c r="G207" s="230">
        <f>G208</f>
        <v>2149</v>
      </c>
      <c r="H207" s="230">
        <f>H208</f>
        <v>0</v>
      </c>
    </row>
    <row r="208" spans="1:8" ht="43.5" customHeight="1">
      <c r="A208" s="180" t="s">
        <v>630</v>
      </c>
      <c r="B208" s="245" t="s">
        <v>64</v>
      </c>
      <c r="C208" s="245" t="s">
        <v>50</v>
      </c>
      <c r="D208" s="245" t="s">
        <v>675</v>
      </c>
      <c r="E208" s="245" t="s">
        <v>477</v>
      </c>
      <c r="F208" s="230">
        <f>прил.4!G318</f>
        <v>0</v>
      </c>
      <c r="G208" s="230">
        <f>прил.4!H318</f>
        <v>2149</v>
      </c>
      <c r="H208" s="230">
        <v>0</v>
      </c>
    </row>
    <row r="209" spans="1:8" ht="22.5" customHeight="1">
      <c r="A209" s="253" t="s">
        <v>594</v>
      </c>
      <c r="B209" s="248" t="s">
        <v>64</v>
      </c>
      <c r="C209" s="248" t="s">
        <v>12</v>
      </c>
      <c r="D209" s="248"/>
      <c r="E209" s="248"/>
      <c r="F209" s="181">
        <f>F212+F210+F218+F220+F216</f>
        <v>132387.70000000001</v>
      </c>
      <c r="G209" s="181">
        <f>G212+G210+G218+G220+G216</f>
        <v>135416.70000000001</v>
      </c>
      <c r="H209" s="181">
        <f>H212+H210+H218+H220+H216</f>
        <v>135416.70000000001</v>
      </c>
    </row>
    <row r="210" spans="1:8" ht="250.5" customHeight="1">
      <c r="A210" s="180" t="s">
        <v>896</v>
      </c>
      <c r="B210" s="245" t="s">
        <v>64</v>
      </c>
      <c r="C210" s="245" t="s">
        <v>12</v>
      </c>
      <c r="D210" s="245" t="s">
        <v>897</v>
      </c>
      <c r="E210" s="245"/>
      <c r="F210" s="230">
        <f>F211</f>
        <v>863.3</v>
      </c>
      <c r="G210" s="230">
        <f>G211</f>
        <v>5179.7</v>
      </c>
      <c r="H210" s="230">
        <f>H211</f>
        <v>5179.7</v>
      </c>
    </row>
    <row r="211" spans="1:8" ht="100.5" customHeight="1">
      <c r="A211" s="180" t="s">
        <v>482</v>
      </c>
      <c r="B211" s="245" t="s">
        <v>64</v>
      </c>
      <c r="C211" s="245" t="s">
        <v>12</v>
      </c>
      <c r="D211" s="245" t="s">
        <v>897</v>
      </c>
      <c r="E211" s="245" t="s">
        <v>483</v>
      </c>
      <c r="F211" s="230">
        <f>прил.4!G323</f>
        <v>863.3</v>
      </c>
      <c r="G211" s="230">
        <f>прил.4!H323</f>
        <v>5179.7</v>
      </c>
      <c r="H211" s="230">
        <f>прил.4!I323</f>
        <v>5179.7</v>
      </c>
    </row>
    <row r="212" spans="1:8" ht="117" customHeight="1">
      <c r="A212" s="180" t="s">
        <v>933</v>
      </c>
      <c r="B212" s="245" t="s">
        <v>64</v>
      </c>
      <c r="C212" s="245" t="s">
        <v>12</v>
      </c>
      <c r="D212" s="245" t="s">
        <v>529</v>
      </c>
      <c r="E212" s="245"/>
      <c r="F212" s="230">
        <f>SUM(F213:F215)</f>
        <v>129059.3</v>
      </c>
      <c r="G212" s="230">
        <f>SUM(G213:G215)</f>
        <v>130237.00000000001</v>
      </c>
      <c r="H212" s="230">
        <f>SUM(H213:H215)</f>
        <v>130237.00000000001</v>
      </c>
    </row>
    <row r="213" spans="1:8" ht="99" customHeight="1">
      <c r="A213" s="180" t="s">
        <v>482</v>
      </c>
      <c r="B213" s="245" t="s">
        <v>64</v>
      </c>
      <c r="C213" s="245" t="s">
        <v>12</v>
      </c>
      <c r="D213" s="245" t="s">
        <v>529</v>
      </c>
      <c r="E213" s="245" t="s">
        <v>483</v>
      </c>
      <c r="F213" s="230">
        <f>прил.4!G325+прил.4!G214</f>
        <v>121437.5</v>
      </c>
      <c r="G213" s="230">
        <f>прил.4!H325+прил.4!H214</f>
        <v>124315.70000000001</v>
      </c>
      <c r="H213" s="230">
        <f>прил.4!I325+прил.4!I214</f>
        <v>124315.70000000001</v>
      </c>
    </row>
    <row r="214" spans="1:8" ht="31.5">
      <c r="A214" s="180" t="s">
        <v>630</v>
      </c>
      <c r="B214" s="245" t="s">
        <v>64</v>
      </c>
      <c r="C214" s="245" t="s">
        <v>12</v>
      </c>
      <c r="D214" s="245" t="s">
        <v>529</v>
      </c>
      <c r="E214" s="245" t="s">
        <v>477</v>
      </c>
      <c r="F214" s="230">
        <f>прил.4!G326+прил.4!G215</f>
        <v>7220.1</v>
      </c>
      <c r="G214" s="230">
        <f>прил.4!H326+прил.4!H215</f>
        <v>5486.2</v>
      </c>
      <c r="H214" s="230">
        <f>прил.4!I326+прил.4!I215</f>
        <v>5486.2</v>
      </c>
    </row>
    <row r="215" spans="1:8">
      <c r="A215" s="180" t="s">
        <v>470</v>
      </c>
      <c r="B215" s="245" t="s">
        <v>64</v>
      </c>
      <c r="C215" s="245" t="s">
        <v>12</v>
      </c>
      <c r="D215" s="245" t="s">
        <v>529</v>
      </c>
      <c r="E215" s="245" t="s">
        <v>471</v>
      </c>
      <c r="F215" s="230">
        <f>прил.4!G327+прил.4!G216</f>
        <v>401.7</v>
      </c>
      <c r="G215" s="230">
        <f>прил.4!H327+прил.4!H216</f>
        <v>435.1</v>
      </c>
      <c r="H215" s="230">
        <f>прил.4!I327+прил.4!I216</f>
        <v>435.1</v>
      </c>
    </row>
    <row r="216" spans="1:8" ht="69.75" customHeight="1">
      <c r="A216" s="180" t="s">
        <v>605</v>
      </c>
      <c r="B216" s="245" t="s">
        <v>64</v>
      </c>
      <c r="C216" s="245" t="s">
        <v>12</v>
      </c>
      <c r="D216" s="245" t="s">
        <v>517</v>
      </c>
      <c r="E216" s="245"/>
      <c r="F216" s="230">
        <f>F217</f>
        <v>200</v>
      </c>
      <c r="G216" s="230">
        <f>G217</f>
        <v>0</v>
      </c>
      <c r="H216" s="230">
        <f>H217</f>
        <v>0</v>
      </c>
    </row>
    <row r="217" spans="1:8" ht="31.5">
      <c r="A217" s="180" t="s">
        <v>630</v>
      </c>
      <c r="B217" s="245" t="s">
        <v>64</v>
      </c>
      <c r="C217" s="245" t="s">
        <v>12</v>
      </c>
      <c r="D217" s="245" t="s">
        <v>517</v>
      </c>
      <c r="E217" s="245" t="s">
        <v>477</v>
      </c>
      <c r="F217" s="230">
        <f>прил.4!G218</f>
        <v>200</v>
      </c>
      <c r="G217" s="230">
        <f>прил.4!H218</f>
        <v>0</v>
      </c>
      <c r="H217" s="230">
        <f>прил.4!I218</f>
        <v>0</v>
      </c>
    </row>
    <row r="218" spans="1:8" ht="47.25">
      <c r="A218" s="180" t="s">
        <v>674</v>
      </c>
      <c r="B218" s="245" t="s">
        <v>64</v>
      </c>
      <c r="C218" s="245" t="s">
        <v>12</v>
      </c>
      <c r="D218" s="245" t="s">
        <v>675</v>
      </c>
      <c r="E218" s="245"/>
      <c r="F218" s="230">
        <f>F219</f>
        <v>2181.6999999999998</v>
      </c>
      <c r="G218" s="230">
        <f>G219</f>
        <v>0</v>
      </c>
      <c r="H218" s="230">
        <f>H219</f>
        <v>0</v>
      </c>
    </row>
    <row r="219" spans="1:8" ht="46.5" customHeight="1">
      <c r="A219" s="180" t="s">
        <v>630</v>
      </c>
      <c r="B219" s="245" t="s">
        <v>64</v>
      </c>
      <c r="C219" s="245" t="s">
        <v>12</v>
      </c>
      <c r="D219" s="245" t="s">
        <v>675</v>
      </c>
      <c r="E219" s="245" t="s">
        <v>477</v>
      </c>
      <c r="F219" s="230">
        <f>прил.4!G329</f>
        <v>2181.6999999999998</v>
      </c>
      <c r="G219" s="230">
        <v>0</v>
      </c>
      <c r="H219" s="230">
        <v>0</v>
      </c>
    </row>
    <row r="220" spans="1:8" ht="101.25" customHeight="1">
      <c r="A220" s="180" t="s">
        <v>914</v>
      </c>
      <c r="B220" s="245" t="s">
        <v>64</v>
      </c>
      <c r="C220" s="245" t="s">
        <v>12</v>
      </c>
      <c r="D220" s="245" t="s">
        <v>520</v>
      </c>
      <c r="E220" s="245"/>
      <c r="F220" s="230">
        <f>F221</f>
        <v>83.4</v>
      </c>
      <c r="G220" s="230">
        <f>G221</f>
        <v>0</v>
      </c>
      <c r="H220" s="230">
        <f>H221</f>
        <v>0</v>
      </c>
    </row>
    <row r="221" spans="1:8" ht="39.75" customHeight="1">
      <c r="A221" s="180" t="s">
        <v>630</v>
      </c>
      <c r="B221" s="245" t="s">
        <v>64</v>
      </c>
      <c r="C221" s="245" t="s">
        <v>12</v>
      </c>
      <c r="D221" s="245" t="s">
        <v>520</v>
      </c>
      <c r="E221" s="245" t="s">
        <v>477</v>
      </c>
      <c r="F221" s="230">
        <f>прил.4!G220</f>
        <v>83.4</v>
      </c>
      <c r="G221" s="230">
        <f>прил.4!H220</f>
        <v>0</v>
      </c>
      <c r="H221" s="230">
        <f>прил.4!I220</f>
        <v>0</v>
      </c>
    </row>
    <row r="222" spans="1:8" ht="33" customHeight="1">
      <c r="A222" s="253" t="s">
        <v>445</v>
      </c>
      <c r="B222" s="248" t="s">
        <v>64</v>
      </c>
      <c r="C222" s="248" t="s">
        <v>44</v>
      </c>
      <c r="D222" s="248"/>
      <c r="E222" s="248"/>
      <c r="F222" s="181">
        <f t="shared" ref="F222:H223" si="11">F223</f>
        <v>3461.9</v>
      </c>
      <c r="G222" s="230">
        <f t="shared" si="11"/>
        <v>3461.9</v>
      </c>
      <c r="H222" s="230">
        <f t="shared" si="11"/>
        <v>3461.9</v>
      </c>
    </row>
    <row r="223" spans="1:8" ht="180.75" customHeight="1">
      <c r="A223" s="180" t="s">
        <v>649</v>
      </c>
      <c r="B223" s="245" t="s">
        <v>64</v>
      </c>
      <c r="C223" s="245" t="s">
        <v>44</v>
      </c>
      <c r="D223" s="251" t="s">
        <v>595</v>
      </c>
      <c r="E223" s="245"/>
      <c r="F223" s="230">
        <f t="shared" si="11"/>
        <v>3461.9</v>
      </c>
      <c r="G223" s="230">
        <f t="shared" si="11"/>
        <v>3461.9</v>
      </c>
      <c r="H223" s="230">
        <f t="shared" si="11"/>
        <v>3461.9</v>
      </c>
    </row>
    <row r="224" spans="1:8" ht="38.25" customHeight="1">
      <c r="A224" s="180" t="s">
        <v>478</v>
      </c>
      <c r="B224" s="245" t="s">
        <v>64</v>
      </c>
      <c r="C224" s="245" t="s">
        <v>44</v>
      </c>
      <c r="D224" s="251" t="s">
        <v>596</v>
      </c>
      <c r="E224" s="245" t="s">
        <v>168</v>
      </c>
      <c r="F224" s="230">
        <f>прил.4!G332</f>
        <v>3461.9</v>
      </c>
      <c r="G224" s="230">
        <f>прил.4!H332</f>
        <v>3461.9</v>
      </c>
      <c r="H224" s="230">
        <f>прил.4!I332</f>
        <v>3461.9</v>
      </c>
    </row>
    <row r="225" spans="1:8" ht="23.25" customHeight="1">
      <c r="A225" s="249" t="s">
        <v>74</v>
      </c>
      <c r="B225" s="248" t="s">
        <v>64</v>
      </c>
      <c r="C225" s="248" t="s">
        <v>64</v>
      </c>
      <c r="D225" s="248"/>
      <c r="E225" s="248"/>
      <c r="F225" s="181">
        <f>F226+F228+F230+F234+F236+F232</f>
        <v>2527.8000000000002</v>
      </c>
      <c r="G225" s="181">
        <f>G226+G228+G230+G234+G236+G232</f>
        <v>2751.1</v>
      </c>
      <c r="H225" s="181">
        <f>H226+H228+H230+H234+H236+H232</f>
        <v>2276.1</v>
      </c>
    </row>
    <row r="226" spans="1:8" ht="72.75" customHeight="1">
      <c r="A226" s="180" t="s">
        <v>604</v>
      </c>
      <c r="B226" s="245" t="s">
        <v>64</v>
      </c>
      <c r="C226" s="245" t="s">
        <v>64</v>
      </c>
      <c r="D226" s="245" t="s">
        <v>519</v>
      </c>
      <c r="E226" s="248"/>
      <c r="F226" s="181">
        <f>F227</f>
        <v>130</v>
      </c>
      <c r="G226" s="230">
        <f>G227</f>
        <v>130</v>
      </c>
      <c r="H226" s="230">
        <f>H227</f>
        <v>130</v>
      </c>
    </row>
    <row r="227" spans="1:8" ht="39.75" customHeight="1">
      <c r="A227" s="180" t="s">
        <v>630</v>
      </c>
      <c r="B227" s="245" t="s">
        <v>64</v>
      </c>
      <c r="C227" s="245" t="s">
        <v>64</v>
      </c>
      <c r="D227" s="245" t="s">
        <v>519</v>
      </c>
      <c r="E227" s="245" t="s">
        <v>477</v>
      </c>
      <c r="F227" s="230">
        <f>прил.4!G347</f>
        <v>130</v>
      </c>
      <c r="G227" s="230">
        <f>прил.4!H347</f>
        <v>130</v>
      </c>
      <c r="H227" s="230">
        <f>прил.4!I347</f>
        <v>130</v>
      </c>
    </row>
    <row r="228" spans="1:8" ht="71.25" customHeight="1">
      <c r="A228" s="180" t="s">
        <v>589</v>
      </c>
      <c r="B228" s="245" t="s">
        <v>64</v>
      </c>
      <c r="C228" s="245" t="s">
        <v>64</v>
      </c>
      <c r="D228" s="251" t="s">
        <v>517</v>
      </c>
      <c r="E228" s="245"/>
      <c r="F228" s="230">
        <f>F229</f>
        <v>50</v>
      </c>
      <c r="G228" s="230">
        <f>G229</f>
        <v>50</v>
      </c>
      <c r="H228" s="230">
        <f>H229</f>
        <v>50</v>
      </c>
    </row>
    <row r="229" spans="1:8" ht="31.5">
      <c r="A229" s="180" t="s">
        <v>630</v>
      </c>
      <c r="B229" s="245" t="s">
        <v>64</v>
      </c>
      <c r="C229" s="245" t="s">
        <v>64</v>
      </c>
      <c r="D229" s="251" t="s">
        <v>517</v>
      </c>
      <c r="E229" s="245" t="s">
        <v>477</v>
      </c>
      <c r="F229" s="230">
        <f>прил.4!G349</f>
        <v>50</v>
      </c>
      <c r="G229" s="230">
        <f>прил.4!H349</f>
        <v>50</v>
      </c>
      <c r="H229" s="230">
        <f>прил.4!I349</f>
        <v>50</v>
      </c>
    </row>
    <row r="230" spans="1:8" ht="69.75" customHeight="1">
      <c r="A230" s="180" t="s">
        <v>601</v>
      </c>
      <c r="B230" s="245" t="s">
        <v>64</v>
      </c>
      <c r="C230" s="245" t="s">
        <v>64</v>
      </c>
      <c r="D230" s="245" t="s">
        <v>518</v>
      </c>
      <c r="E230" s="245"/>
      <c r="F230" s="230">
        <f>F231</f>
        <v>120</v>
      </c>
      <c r="G230" s="230">
        <f>G231</f>
        <v>120</v>
      </c>
      <c r="H230" s="230">
        <f>H231</f>
        <v>120</v>
      </c>
    </row>
    <row r="231" spans="1:8" ht="42.75" customHeight="1">
      <c r="A231" s="180" t="s">
        <v>630</v>
      </c>
      <c r="B231" s="245" t="s">
        <v>64</v>
      </c>
      <c r="C231" s="245" t="s">
        <v>64</v>
      </c>
      <c r="D231" s="245" t="s">
        <v>518</v>
      </c>
      <c r="E231" s="245" t="s">
        <v>477</v>
      </c>
      <c r="F231" s="230">
        <f>прил.4!G351</f>
        <v>120</v>
      </c>
      <c r="G231" s="230">
        <f>прил.4!H351</f>
        <v>120</v>
      </c>
      <c r="H231" s="230">
        <f>прил.4!I351</f>
        <v>120</v>
      </c>
    </row>
    <row r="232" spans="1:8" ht="70.5" customHeight="1">
      <c r="A232" s="180" t="s">
        <v>631</v>
      </c>
      <c r="B232" s="245" t="s">
        <v>64</v>
      </c>
      <c r="C232" s="245" t="s">
        <v>64</v>
      </c>
      <c r="D232" s="251" t="s">
        <v>632</v>
      </c>
      <c r="E232" s="245"/>
      <c r="F232" s="230">
        <f>F233</f>
        <v>1417.9</v>
      </c>
      <c r="G232" s="230">
        <f>G233</f>
        <v>1426.1</v>
      </c>
      <c r="H232" s="230">
        <f>H233</f>
        <v>1426.1</v>
      </c>
    </row>
    <row r="233" spans="1:8" ht="39.75" customHeight="1">
      <c r="A233" s="180" t="s">
        <v>478</v>
      </c>
      <c r="B233" s="245" t="s">
        <v>64</v>
      </c>
      <c r="C233" s="245" t="s">
        <v>64</v>
      </c>
      <c r="D233" s="251" t="s">
        <v>632</v>
      </c>
      <c r="E233" s="245" t="s">
        <v>477</v>
      </c>
      <c r="F233" s="230">
        <f>прил.4!G335</f>
        <v>1417.9</v>
      </c>
      <c r="G233" s="230">
        <f>прил.4!H335</f>
        <v>1426.1</v>
      </c>
      <c r="H233" s="230">
        <f>прил.4!I335</f>
        <v>1426.1</v>
      </c>
    </row>
    <row r="234" spans="1:8" ht="117" customHeight="1">
      <c r="A234" s="180" t="s">
        <v>943</v>
      </c>
      <c r="B234" s="245" t="s">
        <v>64</v>
      </c>
      <c r="C234" s="245" t="s">
        <v>64</v>
      </c>
      <c r="D234" s="243" t="s">
        <v>546</v>
      </c>
      <c r="E234" s="245"/>
      <c r="F234" s="230">
        <f>F235</f>
        <v>550</v>
      </c>
      <c r="G234" s="230">
        <f>G235</f>
        <v>550</v>
      </c>
      <c r="H234" s="230">
        <f>H235</f>
        <v>550</v>
      </c>
    </row>
    <row r="235" spans="1:8" ht="39" customHeight="1">
      <c r="A235" s="180" t="s">
        <v>630</v>
      </c>
      <c r="B235" s="245" t="s">
        <v>64</v>
      </c>
      <c r="C235" s="245" t="s">
        <v>64</v>
      </c>
      <c r="D235" s="243" t="s">
        <v>546</v>
      </c>
      <c r="E235" s="245" t="s">
        <v>477</v>
      </c>
      <c r="F235" s="230">
        <f>прил.4!G353</f>
        <v>550</v>
      </c>
      <c r="G235" s="230">
        <f>прил.4!H353</f>
        <v>550</v>
      </c>
      <c r="H235" s="230">
        <f>прил.4!I353</f>
        <v>550</v>
      </c>
    </row>
    <row r="236" spans="1:8" ht="65.25" customHeight="1">
      <c r="A236" s="180" t="s">
        <v>607</v>
      </c>
      <c r="B236" s="245" t="s">
        <v>64</v>
      </c>
      <c r="C236" s="245" t="s">
        <v>64</v>
      </c>
      <c r="D236" s="243" t="s">
        <v>557</v>
      </c>
      <c r="E236" s="245"/>
      <c r="F236" s="230">
        <f t="shared" ref="F236:H237" si="12">F237</f>
        <v>259.89999999999998</v>
      </c>
      <c r="G236" s="230">
        <f t="shared" si="12"/>
        <v>475</v>
      </c>
      <c r="H236" s="230">
        <f t="shared" si="12"/>
        <v>0</v>
      </c>
    </row>
    <row r="237" spans="1:8" ht="69.75" customHeight="1">
      <c r="A237" s="180" t="s">
        <v>664</v>
      </c>
      <c r="B237" s="245" t="s">
        <v>64</v>
      </c>
      <c r="C237" s="245" t="s">
        <v>64</v>
      </c>
      <c r="D237" s="243" t="s">
        <v>645</v>
      </c>
      <c r="E237" s="245"/>
      <c r="F237" s="230">
        <f t="shared" si="12"/>
        <v>259.89999999999998</v>
      </c>
      <c r="G237" s="230">
        <f t="shared" si="12"/>
        <v>475</v>
      </c>
      <c r="H237" s="230">
        <f t="shared" si="12"/>
        <v>0</v>
      </c>
    </row>
    <row r="238" spans="1:8" ht="39.75" customHeight="1">
      <c r="A238" s="180" t="s">
        <v>630</v>
      </c>
      <c r="B238" s="245" t="s">
        <v>64</v>
      </c>
      <c r="C238" s="245" t="s">
        <v>64</v>
      </c>
      <c r="D238" s="243" t="s">
        <v>645</v>
      </c>
      <c r="E238" s="245" t="s">
        <v>477</v>
      </c>
      <c r="F238" s="230">
        <f>прил.4!G356</f>
        <v>259.89999999999998</v>
      </c>
      <c r="G238" s="230">
        <f>прил.4!H356</f>
        <v>475</v>
      </c>
      <c r="H238" s="230">
        <f>прил.4!I356</f>
        <v>0</v>
      </c>
    </row>
    <row r="239" spans="1:8" ht="24" customHeight="1">
      <c r="A239" s="249" t="s">
        <v>75</v>
      </c>
      <c r="B239" s="248" t="s">
        <v>64</v>
      </c>
      <c r="C239" s="248" t="s">
        <v>33</v>
      </c>
      <c r="D239" s="248"/>
      <c r="E239" s="248"/>
      <c r="F239" s="181">
        <f>F242+F240</f>
        <v>12459</v>
      </c>
      <c r="G239" s="181">
        <f>G242+G240</f>
        <v>12258.1</v>
      </c>
      <c r="H239" s="181">
        <f>H242+H240</f>
        <v>12258.1</v>
      </c>
    </row>
    <row r="240" spans="1:8" s="129" customFormat="1" ht="73.5" customHeight="1">
      <c r="A240" s="180" t="s">
        <v>605</v>
      </c>
      <c r="B240" s="245" t="s">
        <v>64</v>
      </c>
      <c r="C240" s="245" t="s">
        <v>33</v>
      </c>
      <c r="D240" s="245" t="s">
        <v>517</v>
      </c>
      <c r="E240" s="245"/>
      <c r="F240" s="244">
        <f>F241</f>
        <v>100</v>
      </c>
      <c r="G240" s="244">
        <f>G241</f>
        <v>0</v>
      </c>
      <c r="H240" s="244">
        <f>H241</f>
        <v>0</v>
      </c>
    </row>
    <row r="241" spans="1:10" s="129" customFormat="1" ht="41.25" customHeight="1">
      <c r="A241" s="180" t="s">
        <v>630</v>
      </c>
      <c r="B241" s="245" t="s">
        <v>64</v>
      </c>
      <c r="C241" s="245" t="s">
        <v>33</v>
      </c>
      <c r="D241" s="245" t="s">
        <v>517</v>
      </c>
      <c r="E241" s="245" t="s">
        <v>477</v>
      </c>
      <c r="F241" s="244">
        <f>прил.4!G338</f>
        <v>100</v>
      </c>
      <c r="G241" s="244">
        <f>прил.4!H338</f>
        <v>0</v>
      </c>
      <c r="H241" s="244">
        <f>прил.4!I338</f>
        <v>0</v>
      </c>
    </row>
    <row r="242" spans="1:10" ht="117" customHeight="1">
      <c r="A242" s="180" t="s">
        <v>942</v>
      </c>
      <c r="B242" s="245" t="s">
        <v>64</v>
      </c>
      <c r="C242" s="245" t="s">
        <v>33</v>
      </c>
      <c r="D242" s="243" t="s">
        <v>542</v>
      </c>
      <c r="E242" s="245"/>
      <c r="F242" s="230">
        <f>SUM(F243:F245)</f>
        <v>12359</v>
      </c>
      <c r="G242" s="230">
        <f>SUM(G243:G245)</f>
        <v>12258.1</v>
      </c>
      <c r="H242" s="230">
        <f>SUM(H243:H245)</f>
        <v>12258.1</v>
      </c>
    </row>
    <row r="243" spans="1:10" ht="101.25" customHeight="1">
      <c r="A243" s="180" t="s">
        <v>482</v>
      </c>
      <c r="B243" s="245" t="s">
        <v>64</v>
      </c>
      <c r="C243" s="245" t="s">
        <v>33</v>
      </c>
      <c r="D243" s="243" t="s">
        <v>542</v>
      </c>
      <c r="E243" s="245" t="s">
        <v>483</v>
      </c>
      <c r="F243" s="230">
        <f>прил.4!G340</f>
        <v>10250.4</v>
      </c>
      <c r="G243" s="230">
        <f>прил.4!H340</f>
        <v>10341</v>
      </c>
      <c r="H243" s="230">
        <f>прил.4!I340</f>
        <v>10341</v>
      </c>
    </row>
    <row r="244" spans="1:10" ht="36" customHeight="1">
      <c r="A244" s="180" t="s">
        <v>630</v>
      </c>
      <c r="B244" s="245" t="s">
        <v>64</v>
      </c>
      <c r="C244" s="245" t="s">
        <v>33</v>
      </c>
      <c r="D244" s="243" t="s">
        <v>542</v>
      </c>
      <c r="E244" s="245" t="s">
        <v>477</v>
      </c>
      <c r="F244" s="230">
        <f>прил.4!G341</f>
        <v>1523.2</v>
      </c>
      <c r="G244" s="230">
        <f>прил.4!H341</f>
        <v>1305.9000000000001</v>
      </c>
      <c r="H244" s="230">
        <f>прил.4!I341</f>
        <v>1305.9000000000001</v>
      </c>
    </row>
    <row r="245" spans="1:10" ht="22.5" customHeight="1">
      <c r="A245" s="180" t="s">
        <v>470</v>
      </c>
      <c r="B245" s="245" t="s">
        <v>64</v>
      </c>
      <c r="C245" s="245" t="s">
        <v>33</v>
      </c>
      <c r="D245" s="243" t="s">
        <v>542</v>
      </c>
      <c r="E245" s="245" t="s">
        <v>471</v>
      </c>
      <c r="F245" s="230">
        <f>прил.4!G342</f>
        <v>585.4</v>
      </c>
      <c r="G245" s="230">
        <f>прил.4!H342</f>
        <v>611.20000000000005</v>
      </c>
      <c r="H245" s="230">
        <f>прил.4!I342</f>
        <v>611.20000000000005</v>
      </c>
    </row>
    <row r="246" spans="1:10" ht="24" customHeight="1">
      <c r="A246" s="246" t="s">
        <v>143</v>
      </c>
      <c r="B246" s="248" t="s">
        <v>81</v>
      </c>
      <c r="C246" s="248" t="s">
        <v>469</v>
      </c>
      <c r="D246" s="181"/>
      <c r="E246" s="248"/>
      <c r="F246" s="181">
        <f>F247+F270</f>
        <v>156941.49999999997</v>
      </c>
      <c r="G246" s="181">
        <f>G247+G270</f>
        <v>136194.6</v>
      </c>
      <c r="H246" s="181">
        <f>H247+H270</f>
        <v>139539.6</v>
      </c>
      <c r="J246" s="307"/>
    </row>
    <row r="247" spans="1:10" s="189" customFormat="1" ht="18.75" customHeight="1">
      <c r="A247" s="246" t="s">
        <v>82</v>
      </c>
      <c r="B247" s="248" t="s">
        <v>81</v>
      </c>
      <c r="C247" s="248" t="s">
        <v>10</v>
      </c>
      <c r="D247" s="181"/>
      <c r="E247" s="248"/>
      <c r="F247" s="181">
        <f>F251+F256+F265+F259+F248+F263+F268</f>
        <v>150582.69999999998</v>
      </c>
      <c r="G247" s="181">
        <f>G251+G256+G265+G259+G248+G263+G268</f>
        <v>130392.6</v>
      </c>
      <c r="H247" s="181">
        <f>H251+H256+H265+H259+H248+H263+H268</f>
        <v>133737.60000000001</v>
      </c>
    </row>
    <row r="248" spans="1:10" s="163" customFormat="1" ht="66" customHeight="1">
      <c r="A248" s="180" t="s">
        <v>607</v>
      </c>
      <c r="B248" s="245" t="s">
        <v>81</v>
      </c>
      <c r="C248" s="245" t="s">
        <v>10</v>
      </c>
      <c r="D248" s="243" t="s">
        <v>557</v>
      </c>
      <c r="E248" s="245"/>
      <c r="F248" s="230">
        <f t="shared" ref="F248:H249" si="13">F249</f>
        <v>140.9</v>
      </c>
      <c r="G248" s="230">
        <f t="shared" si="13"/>
        <v>140.9</v>
      </c>
      <c r="H248" s="230">
        <f t="shared" si="13"/>
        <v>0</v>
      </c>
    </row>
    <row r="249" spans="1:10" s="189" customFormat="1" ht="71.25" customHeight="1">
      <c r="A249" s="180" t="s">
        <v>664</v>
      </c>
      <c r="B249" s="245" t="s">
        <v>81</v>
      </c>
      <c r="C249" s="245" t="s">
        <v>10</v>
      </c>
      <c r="D249" s="243" t="s">
        <v>645</v>
      </c>
      <c r="E249" s="245"/>
      <c r="F249" s="230">
        <f t="shared" si="13"/>
        <v>140.9</v>
      </c>
      <c r="G249" s="230">
        <f t="shared" si="13"/>
        <v>140.9</v>
      </c>
      <c r="H249" s="230">
        <f t="shared" si="13"/>
        <v>0</v>
      </c>
    </row>
    <row r="250" spans="1:10" s="189" customFormat="1" ht="38.25" customHeight="1">
      <c r="A250" s="180" t="s">
        <v>478</v>
      </c>
      <c r="B250" s="245" t="s">
        <v>81</v>
      </c>
      <c r="C250" s="245" t="s">
        <v>10</v>
      </c>
      <c r="D250" s="243" t="s">
        <v>645</v>
      </c>
      <c r="E250" s="245" t="s">
        <v>477</v>
      </c>
      <c r="F250" s="230">
        <f>прил.4!G224</f>
        <v>140.9</v>
      </c>
      <c r="G250" s="230">
        <f>прил.4!H224</f>
        <v>140.9</v>
      </c>
      <c r="H250" s="230">
        <f>прил.4!I224</f>
        <v>0</v>
      </c>
    </row>
    <row r="251" spans="1:10" ht="102" customHeight="1">
      <c r="A251" s="180" t="s">
        <v>934</v>
      </c>
      <c r="B251" s="245" t="s">
        <v>81</v>
      </c>
      <c r="C251" s="245" t="s">
        <v>10</v>
      </c>
      <c r="D251" s="245" t="s">
        <v>530</v>
      </c>
      <c r="E251" s="245"/>
      <c r="F251" s="230">
        <f>SUM(F252:F255)</f>
        <v>83258.3</v>
      </c>
      <c r="G251" s="230">
        <f>SUM(G252:G255)</f>
        <v>46322.1</v>
      </c>
      <c r="H251" s="230">
        <f>SUM(H252:H255)</f>
        <v>9047.6999999999989</v>
      </c>
    </row>
    <row r="252" spans="1:10" ht="100.5" customHeight="1">
      <c r="A252" s="180" t="s">
        <v>482</v>
      </c>
      <c r="B252" s="245" t="s">
        <v>81</v>
      </c>
      <c r="C252" s="245" t="s">
        <v>10</v>
      </c>
      <c r="D252" s="245" t="s">
        <v>530</v>
      </c>
      <c r="E252" s="245" t="s">
        <v>483</v>
      </c>
      <c r="F252" s="230">
        <f>прил.4!G226</f>
        <v>9227.7999999999993</v>
      </c>
      <c r="G252" s="230">
        <f>прил.4!H226</f>
        <v>4546.8999999999996</v>
      </c>
      <c r="H252" s="230">
        <f>прил.4!I226</f>
        <v>4546.8999999999996</v>
      </c>
    </row>
    <row r="253" spans="1:10" ht="35.25" customHeight="1">
      <c r="A253" s="180" t="s">
        <v>630</v>
      </c>
      <c r="B253" s="245" t="s">
        <v>81</v>
      </c>
      <c r="C253" s="245" t="s">
        <v>10</v>
      </c>
      <c r="D253" s="245" t="s">
        <v>530</v>
      </c>
      <c r="E253" s="245" t="s">
        <v>477</v>
      </c>
      <c r="F253" s="230">
        <f>прил.4!G227</f>
        <v>8752.9</v>
      </c>
      <c r="G253" s="230">
        <f>прил.4!H227</f>
        <v>4227.3</v>
      </c>
      <c r="H253" s="230">
        <f>прил.4!I227</f>
        <v>2227.3000000000002</v>
      </c>
    </row>
    <row r="254" spans="1:10" ht="54.75" customHeight="1">
      <c r="A254" s="180" t="s">
        <v>485</v>
      </c>
      <c r="B254" s="245" t="s">
        <v>81</v>
      </c>
      <c r="C254" s="245" t="s">
        <v>10</v>
      </c>
      <c r="D254" s="245" t="s">
        <v>530</v>
      </c>
      <c r="E254" s="245" t="s">
        <v>484</v>
      </c>
      <c r="F254" s="230">
        <f>прил.4!G228</f>
        <v>64512.4</v>
      </c>
      <c r="G254" s="230">
        <f>прил.4!H228</f>
        <v>37250</v>
      </c>
      <c r="H254" s="230">
        <f>прил.4!I228</f>
        <v>1975.5999999999985</v>
      </c>
    </row>
    <row r="255" spans="1:10" ht="27" customHeight="1">
      <c r="A255" s="180" t="s">
        <v>470</v>
      </c>
      <c r="B255" s="245" t="s">
        <v>81</v>
      </c>
      <c r="C255" s="245" t="s">
        <v>10</v>
      </c>
      <c r="D255" s="245" t="s">
        <v>530</v>
      </c>
      <c r="E255" s="245" t="s">
        <v>471</v>
      </c>
      <c r="F255" s="230">
        <f>прил.4!G229</f>
        <v>765.2</v>
      </c>
      <c r="G255" s="230">
        <f>прил.4!H229</f>
        <v>297.89999999999998</v>
      </c>
      <c r="H255" s="230">
        <f>прил.4!I229</f>
        <v>297.89999999999998</v>
      </c>
    </row>
    <row r="256" spans="1:10" ht="89.25" customHeight="1">
      <c r="A256" s="180" t="s">
        <v>912</v>
      </c>
      <c r="B256" s="245" t="s">
        <v>81</v>
      </c>
      <c r="C256" s="245" t="s">
        <v>10</v>
      </c>
      <c r="D256" s="245" t="s">
        <v>531</v>
      </c>
      <c r="E256" s="245"/>
      <c r="F256" s="230">
        <f>F257+F258</f>
        <v>20531.399999999998</v>
      </c>
      <c r="G256" s="230">
        <f>G257+G258</f>
        <v>21445.7</v>
      </c>
      <c r="H256" s="230">
        <f>H257+H258</f>
        <v>21445.7</v>
      </c>
    </row>
    <row r="257" spans="1:8" ht="105" customHeight="1">
      <c r="A257" s="180" t="s">
        <v>482</v>
      </c>
      <c r="B257" s="245" t="s">
        <v>81</v>
      </c>
      <c r="C257" s="245" t="s">
        <v>10</v>
      </c>
      <c r="D257" s="245" t="s">
        <v>531</v>
      </c>
      <c r="E257" s="245" t="s">
        <v>483</v>
      </c>
      <c r="F257" s="230">
        <f>прил.4!G231</f>
        <v>17423.099999999999</v>
      </c>
      <c r="G257" s="230">
        <f>прил.4!H231</f>
        <v>18896.5</v>
      </c>
      <c r="H257" s="230">
        <f>прил.4!I231</f>
        <v>18896.5</v>
      </c>
    </row>
    <row r="258" spans="1:8" ht="37.5" customHeight="1">
      <c r="A258" s="180" t="s">
        <v>630</v>
      </c>
      <c r="B258" s="245" t="s">
        <v>81</v>
      </c>
      <c r="C258" s="245" t="s">
        <v>10</v>
      </c>
      <c r="D258" s="245" t="s">
        <v>531</v>
      </c>
      <c r="E258" s="245" t="s">
        <v>477</v>
      </c>
      <c r="F258" s="230">
        <f>прил.4!G232</f>
        <v>3108.3</v>
      </c>
      <c r="G258" s="230">
        <f>прил.4!H232</f>
        <v>2549.1999999999998</v>
      </c>
      <c r="H258" s="230">
        <f>прил.4!I232</f>
        <v>2549.1999999999998</v>
      </c>
    </row>
    <row r="259" spans="1:8" ht="102" customHeight="1">
      <c r="A259" s="180" t="s">
        <v>913</v>
      </c>
      <c r="B259" s="245" t="s">
        <v>81</v>
      </c>
      <c r="C259" s="245" t="s">
        <v>10</v>
      </c>
      <c r="D259" s="245" t="s">
        <v>532</v>
      </c>
      <c r="E259" s="245"/>
      <c r="F259" s="230">
        <f>F260+F261+F262</f>
        <v>32736.5</v>
      </c>
      <c r="G259" s="230">
        <f>G260+G261+G262</f>
        <v>39229.299999999996</v>
      </c>
      <c r="H259" s="230">
        <f>H260+H261+H262</f>
        <v>39239.199999999997</v>
      </c>
    </row>
    <row r="260" spans="1:8" ht="105" customHeight="1">
      <c r="A260" s="180" t="s">
        <v>482</v>
      </c>
      <c r="B260" s="245" t="s">
        <v>81</v>
      </c>
      <c r="C260" s="245" t="s">
        <v>10</v>
      </c>
      <c r="D260" s="245" t="s">
        <v>532</v>
      </c>
      <c r="E260" s="245" t="s">
        <v>483</v>
      </c>
      <c r="F260" s="230">
        <f>прил.4!G234+прил.4!G89</f>
        <v>25603.599999999999</v>
      </c>
      <c r="G260" s="230">
        <f>прил.4!H234+прил.4!H89</f>
        <v>33262.299999999996</v>
      </c>
      <c r="H260" s="230">
        <f>прил.4!I234+прил.4!I89</f>
        <v>33262.299999999996</v>
      </c>
    </row>
    <row r="261" spans="1:8" ht="31.5">
      <c r="A261" s="180" t="s">
        <v>630</v>
      </c>
      <c r="B261" s="245" t="s">
        <v>81</v>
      </c>
      <c r="C261" s="245" t="s">
        <v>10</v>
      </c>
      <c r="D261" s="245" t="s">
        <v>532</v>
      </c>
      <c r="E261" s="245" t="s">
        <v>477</v>
      </c>
      <c r="F261" s="230">
        <f>прил.4!G235+прил.4!G90</f>
        <v>5287.9000000000005</v>
      </c>
      <c r="G261" s="230">
        <f>прил.4!H235+прил.4!H90</f>
        <v>3841.4999999999995</v>
      </c>
      <c r="H261" s="230">
        <f>прил.4!I235+прил.4!I90</f>
        <v>3851.3999999999996</v>
      </c>
    </row>
    <row r="262" spans="1:8" ht="25.5" customHeight="1">
      <c r="A262" s="180" t="s">
        <v>470</v>
      </c>
      <c r="B262" s="245" t="s">
        <v>81</v>
      </c>
      <c r="C262" s="245" t="s">
        <v>10</v>
      </c>
      <c r="D262" s="245" t="s">
        <v>532</v>
      </c>
      <c r="E262" s="245" t="s">
        <v>471</v>
      </c>
      <c r="F262" s="230">
        <f>прил.4!G236</f>
        <v>1845</v>
      </c>
      <c r="G262" s="230">
        <f>прил.4!H236</f>
        <v>2125.5</v>
      </c>
      <c r="H262" s="230">
        <f>прил.4!I236</f>
        <v>2125.5</v>
      </c>
    </row>
    <row r="263" spans="1:8" ht="72.75" customHeight="1">
      <c r="A263" s="180" t="s">
        <v>903</v>
      </c>
      <c r="B263" s="245" t="s">
        <v>81</v>
      </c>
      <c r="C263" s="245" t="s">
        <v>10</v>
      </c>
      <c r="D263" s="245" t="s">
        <v>902</v>
      </c>
      <c r="E263" s="245"/>
      <c r="F263" s="230">
        <f>F264</f>
        <v>0</v>
      </c>
      <c r="G263" s="230">
        <f>G264</f>
        <v>239.10000000000002</v>
      </c>
      <c r="H263" s="230">
        <f>H264</f>
        <v>40989.5</v>
      </c>
    </row>
    <row r="264" spans="1:8" ht="54" customHeight="1">
      <c r="A264" s="180" t="s">
        <v>639</v>
      </c>
      <c r="B264" s="245" t="s">
        <v>81</v>
      </c>
      <c r="C264" s="245" t="s">
        <v>10</v>
      </c>
      <c r="D264" s="245" t="s">
        <v>902</v>
      </c>
      <c r="E264" s="245" t="s">
        <v>481</v>
      </c>
      <c r="F264" s="230">
        <f>прил.4!G238</f>
        <v>0</v>
      </c>
      <c r="G264" s="230">
        <f>прил.4!H238</f>
        <v>239.10000000000002</v>
      </c>
      <c r="H264" s="230">
        <f>прил.4!I238</f>
        <v>40989.5</v>
      </c>
    </row>
    <row r="265" spans="1:8" ht="101.25" customHeight="1">
      <c r="A265" s="180" t="s">
        <v>914</v>
      </c>
      <c r="B265" s="245" t="s">
        <v>81</v>
      </c>
      <c r="C265" s="245" t="s">
        <v>10</v>
      </c>
      <c r="D265" s="245" t="s">
        <v>520</v>
      </c>
      <c r="E265" s="245"/>
      <c r="F265" s="230">
        <f>F266+F267</f>
        <v>13893.8</v>
      </c>
      <c r="G265" s="230">
        <f>G266+G267</f>
        <v>23015.5</v>
      </c>
      <c r="H265" s="230">
        <f>H266+H267</f>
        <v>23015.5</v>
      </c>
    </row>
    <row r="266" spans="1:8" ht="36" customHeight="1">
      <c r="A266" s="180" t="s">
        <v>630</v>
      </c>
      <c r="B266" s="245" t="s">
        <v>81</v>
      </c>
      <c r="C266" s="245" t="s">
        <v>10</v>
      </c>
      <c r="D266" s="245" t="s">
        <v>520</v>
      </c>
      <c r="E266" s="245" t="s">
        <v>477</v>
      </c>
      <c r="F266" s="230">
        <f>прил.4!G92+прил.4!G240</f>
        <v>11578.3</v>
      </c>
      <c r="G266" s="230">
        <f>прил.4!H92+прил.4!H240</f>
        <v>22265.5</v>
      </c>
      <c r="H266" s="230">
        <f>прил.4!I92+прил.4!I240</f>
        <v>22265.5</v>
      </c>
    </row>
    <row r="267" spans="1:8" ht="54.75" customHeight="1">
      <c r="A267" s="180" t="s">
        <v>485</v>
      </c>
      <c r="B267" s="245" t="s">
        <v>81</v>
      </c>
      <c r="C267" s="245" t="s">
        <v>10</v>
      </c>
      <c r="D267" s="245" t="s">
        <v>520</v>
      </c>
      <c r="E267" s="245" t="s">
        <v>484</v>
      </c>
      <c r="F267" s="230">
        <f>прил.4!G93</f>
        <v>2315.5</v>
      </c>
      <c r="G267" s="230">
        <f>прил.4!H93</f>
        <v>750</v>
      </c>
      <c r="H267" s="230">
        <f>прил.4!I93</f>
        <v>750</v>
      </c>
    </row>
    <row r="268" spans="1:8" ht="23.25" customHeight="1">
      <c r="A268" s="180" t="s">
        <v>1114</v>
      </c>
      <c r="B268" s="245" t="s">
        <v>81</v>
      </c>
      <c r="C268" s="245" t="s">
        <v>10</v>
      </c>
      <c r="D268" s="245" t="s">
        <v>1041</v>
      </c>
      <c r="E268" s="245"/>
      <c r="F268" s="230">
        <f>F269</f>
        <v>21.8</v>
      </c>
      <c r="G268" s="230">
        <f>G269</f>
        <v>0</v>
      </c>
      <c r="H268" s="230">
        <f>H269</f>
        <v>0</v>
      </c>
    </row>
    <row r="269" spans="1:8" ht="37.5" customHeight="1">
      <c r="A269" s="180" t="s">
        <v>630</v>
      </c>
      <c r="B269" s="245" t="s">
        <v>81</v>
      </c>
      <c r="C269" s="245" t="s">
        <v>10</v>
      </c>
      <c r="D269" s="245" t="s">
        <v>1041</v>
      </c>
      <c r="E269" s="245" t="s">
        <v>477</v>
      </c>
      <c r="F269" s="230">
        <f>прил.4!G242</f>
        <v>21.8</v>
      </c>
      <c r="G269" s="230">
        <f>прил.4!H242</f>
        <v>0</v>
      </c>
      <c r="H269" s="230">
        <f>прил.4!I242</f>
        <v>0</v>
      </c>
    </row>
    <row r="270" spans="1:8" ht="41.25" customHeight="1">
      <c r="A270" s="246" t="str">
        <f>[1]прил.2!A191</f>
        <v>Другие вопросы в области  культуры и кинематографии</v>
      </c>
      <c r="B270" s="248" t="s">
        <v>81</v>
      </c>
      <c r="C270" s="248" t="s">
        <v>19</v>
      </c>
      <c r="D270" s="248"/>
      <c r="E270" s="248"/>
      <c r="F270" s="181">
        <f>F271</f>
        <v>6358.8</v>
      </c>
      <c r="G270" s="181">
        <f>G271</f>
        <v>5802</v>
      </c>
      <c r="H270" s="181">
        <f>H271</f>
        <v>5802</v>
      </c>
    </row>
    <row r="271" spans="1:8" ht="120" customHeight="1">
      <c r="A271" s="180" t="s">
        <v>935</v>
      </c>
      <c r="B271" s="245" t="s">
        <v>81</v>
      </c>
      <c r="C271" s="245" t="s">
        <v>19</v>
      </c>
      <c r="D271" s="245" t="s">
        <v>533</v>
      </c>
      <c r="E271" s="248"/>
      <c r="F271" s="181">
        <f>SUM(F272:F274)</f>
        <v>6358.8</v>
      </c>
      <c r="G271" s="181">
        <f>SUM(G272:G274)</f>
        <v>5802</v>
      </c>
      <c r="H271" s="181">
        <f>SUM(H272:H274)</f>
        <v>5802</v>
      </c>
    </row>
    <row r="272" spans="1:8" ht="101.25" customHeight="1">
      <c r="A272" s="180" t="s">
        <v>482</v>
      </c>
      <c r="B272" s="245" t="s">
        <v>81</v>
      </c>
      <c r="C272" s="245" t="s">
        <v>19</v>
      </c>
      <c r="D272" s="245" t="s">
        <v>533</v>
      </c>
      <c r="E272" s="245" t="s">
        <v>483</v>
      </c>
      <c r="F272" s="230">
        <f>прил.4!G245</f>
        <v>5860.1</v>
      </c>
      <c r="G272" s="230">
        <f>прил.4!H245</f>
        <v>5098.7</v>
      </c>
      <c r="H272" s="230">
        <f>прил.4!I245</f>
        <v>5098.7</v>
      </c>
    </row>
    <row r="273" spans="1:8" ht="37.5" customHeight="1">
      <c r="A273" s="180" t="s">
        <v>630</v>
      </c>
      <c r="B273" s="245" t="s">
        <v>81</v>
      </c>
      <c r="C273" s="245" t="s">
        <v>19</v>
      </c>
      <c r="D273" s="245" t="s">
        <v>533</v>
      </c>
      <c r="E273" s="245" t="s">
        <v>477</v>
      </c>
      <c r="F273" s="230">
        <f>прил.4!G246</f>
        <v>495.7</v>
      </c>
      <c r="G273" s="230">
        <f>прил.4!H246</f>
        <v>703.3</v>
      </c>
      <c r="H273" s="230">
        <f>прил.4!I246</f>
        <v>703.3</v>
      </c>
    </row>
    <row r="274" spans="1:8" ht="20.25" customHeight="1">
      <c r="A274" s="180" t="s">
        <v>470</v>
      </c>
      <c r="B274" s="245" t="s">
        <v>81</v>
      </c>
      <c r="C274" s="245" t="s">
        <v>19</v>
      </c>
      <c r="D274" s="245" t="s">
        <v>533</v>
      </c>
      <c r="E274" s="245" t="s">
        <v>471</v>
      </c>
      <c r="F274" s="230">
        <f>прил.4!G247</f>
        <v>3</v>
      </c>
      <c r="G274" s="230">
        <f>прил.4!H247</f>
        <v>0</v>
      </c>
      <c r="H274" s="230">
        <f>прил.4!I247</f>
        <v>0</v>
      </c>
    </row>
    <row r="275" spans="1:8">
      <c r="A275" s="246" t="s">
        <v>97</v>
      </c>
      <c r="B275" s="248">
        <v>10</v>
      </c>
      <c r="C275" s="248" t="s">
        <v>469</v>
      </c>
      <c r="D275" s="262"/>
      <c r="E275" s="262"/>
      <c r="F275" s="181">
        <f>F277+F279+F282+F289</f>
        <v>48822.5</v>
      </c>
      <c r="G275" s="181">
        <f>G277+G279+G282+G289</f>
        <v>45541</v>
      </c>
      <c r="H275" s="181">
        <f>H277+H279+H282+H289</f>
        <v>49898.8</v>
      </c>
    </row>
    <row r="276" spans="1:8">
      <c r="A276" s="246" t="s">
        <v>98</v>
      </c>
      <c r="B276" s="248">
        <v>10</v>
      </c>
      <c r="C276" s="248" t="s">
        <v>10</v>
      </c>
      <c r="D276" s="248"/>
      <c r="E276" s="248"/>
      <c r="F276" s="181">
        <f t="shared" ref="F276:H277" si="14">F277</f>
        <v>8822.6</v>
      </c>
      <c r="G276" s="181">
        <f t="shared" si="14"/>
        <v>9000</v>
      </c>
      <c r="H276" s="181">
        <f t="shared" si="14"/>
        <v>9000</v>
      </c>
    </row>
    <row r="277" spans="1:8" ht="87" customHeight="1">
      <c r="A277" s="180" t="s">
        <v>490</v>
      </c>
      <c r="B277" s="245">
        <v>10</v>
      </c>
      <c r="C277" s="245" t="s">
        <v>10</v>
      </c>
      <c r="D277" s="245" t="s">
        <v>521</v>
      </c>
      <c r="E277" s="245"/>
      <c r="F277" s="230">
        <f t="shared" si="14"/>
        <v>8822.6</v>
      </c>
      <c r="G277" s="230">
        <f t="shared" si="14"/>
        <v>9000</v>
      </c>
      <c r="H277" s="230">
        <f t="shared" si="14"/>
        <v>9000</v>
      </c>
    </row>
    <row r="278" spans="1:8" ht="31.5">
      <c r="A278" s="180" t="s">
        <v>479</v>
      </c>
      <c r="B278" s="245">
        <v>10</v>
      </c>
      <c r="C278" s="245" t="s">
        <v>10</v>
      </c>
      <c r="D278" s="245" t="s">
        <v>521</v>
      </c>
      <c r="E278" s="245" t="s">
        <v>480</v>
      </c>
      <c r="F278" s="230">
        <f>прил.4!G97</f>
        <v>8822.6</v>
      </c>
      <c r="G278" s="230">
        <f>прил.4!H97</f>
        <v>9000</v>
      </c>
      <c r="H278" s="230">
        <f>прил.4!I97</f>
        <v>9000</v>
      </c>
    </row>
    <row r="279" spans="1:8" ht="22.5" customHeight="1">
      <c r="A279" s="246" t="s">
        <v>103</v>
      </c>
      <c r="B279" s="248" t="s">
        <v>94</v>
      </c>
      <c r="C279" s="248" t="s">
        <v>12</v>
      </c>
      <c r="D279" s="248"/>
      <c r="E279" s="248"/>
      <c r="F279" s="181">
        <f t="shared" ref="F279:H280" si="15">F280</f>
        <v>15734.4</v>
      </c>
      <c r="G279" s="181">
        <f t="shared" si="15"/>
        <v>5500</v>
      </c>
      <c r="H279" s="181">
        <f t="shared" si="15"/>
        <v>5500</v>
      </c>
    </row>
    <row r="280" spans="1:8" ht="162" customHeight="1">
      <c r="A280" s="180" t="s">
        <v>924</v>
      </c>
      <c r="B280" s="245" t="s">
        <v>94</v>
      </c>
      <c r="C280" s="245" t="s">
        <v>12</v>
      </c>
      <c r="D280" s="245" t="s">
        <v>864</v>
      </c>
      <c r="E280" s="178"/>
      <c r="F280" s="230">
        <f t="shared" si="15"/>
        <v>15734.4</v>
      </c>
      <c r="G280" s="230">
        <f t="shared" si="15"/>
        <v>5500</v>
      </c>
      <c r="H280" s="230">
        <f t="shared" si="15"/>
        <v>5500</v>
      </c>
    </row>
    <row r="281" spans="1:8" ht="31.5">
      <c r="A281" s="180" t="s">
        <v>479</v>
      </c>
      <c r="B281" s="245" t="s">
        <v>94</v>
      </c>
      <c r="C281" s="245" t="s">
        <v>12</v>
      </c>
      <c r="D281" s="245" t="s">
        <v>864</v>
      </c>
      <c r="E281" s="178">
        <v>300</v>
      </c>
      <c r="F281" s="230">
        <f>прил.4!G100</f>
        <v>15734.4</v>
      </c>
      <c r="G281" s="230">
        <f>прил.4!H100</f>
        <v>5500</v>
      </c>
      <c r="H281" s="230">
        <f>прил.4!I100</f>
        <v>5500</v>
      </c>
    </row>
    <row r="282" spans="1:8" ht="22.5" customHeight="1">
      <c r="A282" s="249" t="s">
        <v>233</v>
      </c>
      <c r="B282" s="248" t="s">
        <v>94</v>
      </c>
      <c r="C282" s="248" t="s">
        <v>19</v>
      </c>
      <c r="D282" s="248"/>
      <c r="E282" s="248"/>
      <c r="F282" s="181">
        <f>F283+F287+F285</f>
        <v>16865</v>
      </c>
      <c r="G282" s="181">
        <f>G283+G287+G285</f>
        <v>23610.2</v>
      </c>
      <c r="H282" s="181">
        <f>H283+H287+H285</f>
        <v>27235</v>
      </c>
    </row>
    <row r="283" spans="1:8" ht="180.75" customHeight="1">
      <c r="A283" s="180" t="s">
        <v>467</v>
      </c>
      <c r="B283" s="245" t="s">
        <v>94</v>
      </c>
      <c r="C283" s="245" t="s">
        <v>19</v>
      </c>
      <c r="D283" s="245" t="s">
        <v>544</v>
      </c>
      <c r="E283" s="245"/>
      <c r="F283" s="230">
        <f>F284</f>
        <v>14612</v>
      </c>
      <c r="G283" s="230">
        <f>G284</f>
        <v>20848</v>
      </c>
      <c r="H283" s="230">
        <f>H284</f>
        <v>24055.9</v>
      </c>
    </row>
    <row r="284" spans="1:8" ht="165.75" customHeight="1">
      <c r="A284" s="252" t="s">
        <v>466</v>
      </c>
      <c r="B284" s="245" t="s">
        <v>94</v>
      </c>
      <c r="C284" s="245" t="s">
        <v>19</v>
      </c>
      <c r="D284" s="245" t="s">
        <v>544</v>
      </c>
      <c r="E284" s="245" t="s">
        <v>480</v>
      </c>
      <c r="F284" s="230">
        <f>прил.4!G103</f>
        <v>14612</v>
      </c>
      <c r="G284" s="230">
        <f>прил.4!H103</f>
        <v>20848</v>
      </c>
      <c r="H284" s="230">
        <f>прил.4!I103</f>
        <v>24055.9</v>
      </c>
    </row>
    <row r="285" spans="1:8" s="129" customFormat="1" ht="55.5" customHeight="1">
      <c r="A285" s="180" t="s">
        <v>644</v>
      </c>
      <c r="B285" s="245" t="s">
        <v>94</v>
      </c>
      <c r="C285" s="245" t="s">
        <v>19</v>
      </c>
      <c r="D285" s="245" t="s">
        <v>643</v>
      </c>
      <c r="E285" s="245"/>
      <c r="F285" s="230">
        <f>F286</f>
        <v>2193</v>
      </c>
      <c r="G285" s="230">
        <f>G286</f>
        <v>2710.2</v>
      </c>
      <c r="H285" s="230">
        <f>H286</f>
        <v>3127.1</v>
      </c>
    </row>
    <row r="286" spans="1:8" s="129" customFormat="1" ht="36" customHeight="1">
      <c r="A286" s="180" t="s">
        <v>479</v>
      </c>
      <c r="B286" s="245" t="s">
        <v>94</v>
      </c>
      <c r="C286" s="245" t="s">
        <v>19</v>
      </c>
      <c r="D286" s="245" t="s">
        <v>643</v>
      </c>
      <c r="E286" s="245" t="s">
        <v>480</v>
      </c>
      <c r="F286" s="230">
        <f>прил.4!G105</f>
        <v>2193</v>
      </c>
      <c r="G286" s="230">
        <f>прил.4!H105</f>
        <v>2710.2</v>
      </c>
      <c r="H286" s="230">
        <f>прил.4!I105</f>
        <v>3127.1</v>
      </c>
    </row>
    <row r="287" spans="1:8" ht="162" customHeight="1">
      <c r="A287" s="252" t="s">
        <v>466</v>
      </c>
      <c r="B287" s="245" t="s">
        <v>94</v>
      </c>
      <c r="C287" s="245" t="s">
        <v>19</v>
      </c>
      <c r="D287" s="245" t="s">
        <v>543</v>
      </c>
      <c r="E287" s="245"/>
      <c r="F287" s="230">
        <f>F288</f>
        <v>60</v>
      </c>
      <c r="G287" s="230">
        <f>G288</f>
        <v>52</v>
      </c>
      <c r="H287" s="230">
        <f>H288</f>
        <v>52</v>
      </c>
    </row>
    <row r="288" spans="1:8" ht="38.25" customHeight="1">
      <c r="A288" s="180" t="s">
        <v>479</v>
      </c>
      <c r="B288" s="245" t="s">
        <v>94</v>
      </c>
      <c r="C288" s="245" t="s">
        <v>19</v>
      </c>
      <c r="D288" s="245" t="s">
        <v>543</v>
      </c>
      <c r="E288" s="245" t="s">
        <v>480</v>
      </c>
      <c r="F288" s="230">
        <f>прил.4!G107</f>
        <v>60</v>
      </c>
      <c r="G288" s="230">
        <f>прил.4!H107</f>
        <v>52</v>
      </c>
      <c r="H288" s="230">
        <f>прил.4!I107</f>
        <v>52</v>
      </c>
    </row>
    <row r="289" spans="1:8" ht="31.5">
      <c r="A289" s="249" t="s">
        <v>244</v>
      </c>
      <c r="B289" s="248" t="s">
        <v>94</v>
      </c>
      <c r="C289" s="248" t="s">
        <v>89</v>
      </c>
      <c r="D289" s="248"/>
      <c r="E289" s="247"/>
      <c r="F289" s="181">
        <f>F290+F293</f>
        <v>7400.5000000000009</v>
      </c>
      <c r="G289" s="181">
        <f>G290+G293</f>
        <v>7430.8</v>
      </c>
      <c r="H289" s="181">
        <f>H290+H293</f>
        <v>8163.8</v>
      </c>
    </row>
    <row r="290" spans="1:8" ht="144" customHeight="1">
      <c r="A290" s="180" t="s">
        <v>586</v>
      </c>
      <c r="B290" s="245" t="s">
        <v>94</v>
      </c>
      <c r="C290" s="245" t="s">
        <v>89</v>
      </c>
      <c r="D290" s="245" t="s">
        <v>545</v>
      </c>
      <c r="E290" s="178"/>
      <c r="F290" s="230">
        <f>SUM(F291:F292)</f>
        <v>5249.7000000000007</v>
      </c>
      <c r="G290" s="230">
        <f>SUM(G291:G292)</f>
        <v>5280</v>
      </c>
      <c r="H290" s="230">
        <f>SUM(H291:H292)</f>
        <v>5832.5</v>
      </c>
    </row>
    <row r="291" spans="1:8" ht="102.75" customHeight="1">
      <c r="A291" s="180" t="s">
        <v>482</v>
      </c>
      <c r="B291" s="245" t="s">
        <v>94</v>
      </c>
      <c r="C291" s="245" t="s">
        <v>89</v>
      </c>
      <c r="D291" s="245" t="s">
        <v>545</v>
      </c>
      <c r="E291" s="245" t="s">
        <v>483</v>
      </c>
      <c r="F291" s="230">
        <f>прил.4!G110</f>
        <v>5102.6000000000004</v>
      </c>
      <c r="G291" s="230">
        <f>прил.4!H110</f>
        <v>5280</v>
      </c>
      <c r="H291" s="230">
        <f>прил.4!I110</f>
        <v>5832.5</v>
      </c>
    </row>
    <row r="292" spans="1:8" ht="45" customHeight="1">
      <c r="A292" s="180" t="s">
        <v>630</v>
      </c>
      <c r="B292" s="245" t="s">
        <v>94</v>
      </c>
      <c r="C292" s="245" t="s">
        <v>89</v>
      </c>
      <c r="D292" s="245" t="s">
        <v>545</v>
      </c>
      <c r="E292" s="245" t="s">
        <v>477</v>
      </c>
      <c r="F292" s="230">
        <f>прил.4!G111</f>
        <v>147.1</v>
      </c>
      <c r="G292" s="230">
        <f>прил.4!H111</f>
        <v>0</v>
      </c>
      <c r="H292" s="230">
        <f>прил.4!I111</f>
        <v>0</v>
      </c>
    </row>
    <row r="293" spans="1:8" ht="147.75" customHeight="1">
      <c r="A293" s="180" t="s">
        <v>487</v>
      </c>
      <c r="B293" s="245" t="s">
        <v>94</v>
      </c>
      <c r="C293" s="245" t="s">
        <v>89</v>
      </c>
      <c r="D293" s="245" t="s">
        <v>522</v>
      </c>
      <c r="E293" s="178"/>
      <c r="F293" s="230">
        <f>F294</f>
        <v>2150.8000000000002</v>
      </c>
      <c r="G293" s="230">
        <f>G294</f>
        <v>2150.8000000000002</v>
      </c>
      <c r="H293" s="230">
        <f>H294</f>
        <v>2331.3000000000002</v>
      </c>
    </row>
    <row r="294" spans="1:8" ht="102" customHeight="1">
      <c r="A294" s="180" t="s">
        <v>482</v>
      </c>
      <c r="B294" s="245" t="s">
        <v>94</v>
      </c>
      <c r="C294" s="245" t="s">
        <v>89</v>
      </c>
      <c r="D294" s="245" t="s">
        <v>522</v>
      </c>
      <c r="E294" s="245" t="s">
        <v>483</v>
      </c>
      <c r="F294" s="230">
        <f>прил.4!G113</f>
        <v>2150.8000000000002</v>
      </c>
      <c r="G294" s="230">
        <f>прил.4!H113</f>
        <v>2150.8000000000002</v>
      </c>
      <c r="H294" s="230">
        <f>прил.4!I113</f>
        <v>2331.3000000000002</v>
      </c>
    </row>
    <row r="295" spans="1:8" s="189" customFormat="1" ht="25.5" customHeight="1">
      <c r="A295" s="246" t="str">
        <f>[1]прил.2!A289</f>
        <v>ФИЗИЧЕСКАЯ КУЛЬТУРА И СПОРТ</v>
      </c>
      <c r="B295" s="248" t="s">
        <v>22</v>
      </c>
      <c r="C295" s="248" t="s">
        <v>469</v>
      </c>
      <c r="D295" s="248"/>
      <c r="E295" s="248"/>
      <c r="F295" s="181">
        <f>F296+F307+F312</f>
        <v>98900.1</v>
      </c>
      <c r="G295" s="181">
        <f>G296+G307+G312</f>
        <v>86609.799999999988</v>
      </c>
      <c r="H295" s="181">
        <f>H296+H307+H312</f>
        <v>35055.700000000004</v>
      </c>
    </row>
    <row r="296" spans="1:8" s="189" customFormat="1" ht="24" customHeight="1">
      <c r="A296" s="246" t="s">
        <v>416</v>
      </c>
      <c r="B296" s="248" t="s">
        <v>22</v>
      </c>
      <c r="C296" s="248" t="s">
        <v>10</v>
      </c>
      <c r="D296" s="248"/>
      <c r="E296" s="248"/>
      <c r="F296" s="181">
        <f>F301+F303+F297</f>
        <v>79542.8</v>
      </c>
      <c r="G296" s="230">
        <f>G301+G303+G297</f>
        <v>83843.899999999994</v>
      </c>
      <c r="H296" s="230">
        <f>H301+H303+H297</f>
        <v>32289.800000000003</v>
      </c>
    </row>
    <row r="297" spans="1:8" s="129" customFormat="1" ht="155.25" customHeight="1">
      <c r="A297" s="180" t="s">
        <v>875</v>
      </c>
      <c r="B297" s="245" t="s">
        <v>22</v>
      </c>
      <c r="C297" s="245" t="s">
        <v>10</v>
      </c>
      <c r="D297" s="245" t="s">
        <v>874</v>
      </c>
      <c r="E297" s="245"/>
      <c r="F297" s="230">
        <f>F298+F299+F300</f>
        <v>66031.100000000006</v>
      </c>
      <c r="G297" s="230">
        <f>G298+G299+G300</f>
        <v>67546.2</v>
      </c>
      <c r="H297" s="230">
        <f>H298+H299+H300</f>
        <v>15992.1</v>
      </c>
    </row>
    <row r="298" spans="1:8" s="129" customFormat="1" ht="102.75" customHeight="1">
      <c r="A298" s="180" t="s">
        <v>482</v>
      </c>
      <c r="B298" s="245" t="s">
        <v>22</v>
      </c>
      <c r="C298" s="245" t="s">
        <v>10</v>
      </c>
      <c r="D298" s="245" t="s">
        <v>874</v>
      </c>
      <c r="E298" s="245" t="s">
        <v>483</v>
      </c>
      <c r="F298" s="230">
        <f>прил.4!G360</f>
        <v>63360.800000000003</v>
      </c>
      <c r="G298" s="230">
        <f>прил.4!H360</f>
        <v>64073.599999999999</v>
      </c>
      <c r="H298" s="230">
        <f>прил.4!I360</f>
        <v>12519.5</v>
      </c>
    </row>
    <row r="299" spans="1:8" s="129" customFormat="1" ht="39" customHeight="1">
      <c r="A299" s="180" t="s">
        <v>630</v>
      </c>
      <c r="B299" s="245" t="s">
        <v>22</v>
      </c>
      <c r="C299" s="245" t="s">
        <v>10</v>
      </c>
      <c r="D299" s="245" t="s">
        <v>874</v>
      </c>
      <c r="E299" s="245" t="s">
        <v>477</v>
      </c>
      <c r="F299" s="230">
        <f>прил.4!G361</f>
        <v>2197.1</v>
      </c>
      <c r="G299" s="230">
        <f>прил.4!H361</f>
        <v>3005.4</v>
      </c>
      <c r="H299" s="230">
        <f>прил.4!I361</f>
        <v>3005.4</v>
      </c>
    </row>
    <row r="300" spans="1:8" s="129" customFormat="1" ht="22.5" customHeight="1">
      <c r="A300" s="180" t="s">
        <v>470</v>
      </c>
      <c r="B300" s="245" t="s">
        <v>22</v>
      </c>
      <c r="C300" s="245" t="s">
        <v>10</v>
      </c>
      <c r="D300" s="245" t="s">
        <v>874</v>
      </c>
      <c r="E300" s="245" t="s">
        <v>471</v>
      </c>
      <c r="F300" s="230">
        <f>прил.4!G362</f>
        <v>473.2</v>
      </c>
      <c r="G300" s="230">
        <f>прил.4!H362</f>
        <v>467.2</v>
      </c>
      <c r="H300" s="230">
        <f>прил.4!I362</f>
        <v>467.2</v>
      </c>
    </row>
    <row r="301" spans="1:8" ht="161.25" customHeight="1">
      <c r="A301" s="180" t="s">
        <v>944</v>
      </c>
      <c r="B301" s="245" t="s">
        <v>22</v>
      </c>
      <c r="C301" s="245" t="s">
        <v>10</v>
      </c>
      <c r="D301" s="245" t="s">
        <v>547</v>
      </c>
      <c r="E301" s="245"/>
      <c r="F301" s="230">
        <f>SUM(F302:F302)</f>
        <v>281.3</v>
      </c>
      <c r="G301" s="230">
        <f>SUM(G302:G302)</f>
        <v>300</v>
      </c>
      <c r="H301" s="230">
        <f>SUM(H302:H302)</f>
        <v>300</v>
      </c>
    </row>
    <row r="302" spans="1:8" ht="38.25" customHeight="1">
      <c r="A302" s="180" t="s">
        <v>630</v>
      </c>
      <c r="B302" s="245" t="s">
        <v>22</v>
      </c>
      <c r="C302" s="245" t="s">
        <v>10</v>
      </c>
      <c r="D302" s="245" t="s">
        <v>547</v>
      </c>
      <c r="E302" s="245" t="s">
        <v>477</v>
      </c>
      <c r="F302" s="230">
        <f>прил.4!G364</f>
        <v>281.3</v>
      </c>
      <c r="G302" s="230">
        <f>прил.4!H364</f>
        <v>300</v>
      </c>
      <c r="H302" s="230">
        <f>прил.4!I364</f>
        <v>300</v>
      </c>
    </row>
    <row r="303" spans="1:8" ht="39" customHeight="1">
      <c r="A303" s="180" t="s">
        <v>634</v>
      </c>
      <c r="B303" s="245" t="s">
        <v>22</v>
      </c>
      <c r="C303" s="245" t="s">
        <v>10</v>
      </c>
      <c r="D303" s="245" t="s">
        <v>633</v>
      </c>
      <c r="E303" s="245"/>
      <c r="F303" s="230">
        <f>F304+F305+F306</f>
        <v>13230.400000000001</v>
      </c>
      <c r="G303" s="230">
        <f>G304+G305+G306</f>
        <v>15997.7</v>
      </c>
      <c r="H303" s="230">
        <f>H304+H305+H306</f>
        <v>15997.7</v>
      </c>
    </row>
    <row r="304" spans="1:8" ht="102" customHeight="1">
      <c r="A304" s="180" t="s">
        <v>482</v>
      </c>
      <c r="B304" s="245" t="s">
        <v>22</v>
      </c>
      <c r="C304" s="245" t="s">
        <v>10</v>
      </c>
      <c r="D304" s="245" t="s">
        <v>633</v>
      </c>
      <c r="E304" s="245" t="s">
        <v>483</v>
      </c>
      <c r="F304" s="230">
        <f>прил.4!G366</f>
        <v>12428.2</v>
      </c>
      <c r="G304" s="230">
        <f>прил.4!H366</f>
        <v>12629.4</v>
      </c>
      <c r="H304" s="230">
        <f>прил.4!I366</f>
        <v>12629.4</v>
      </c>
    </row>
    <row r="305" spans="1:8" ht="39" customHeight="1">
      <c r="A305" s="180" t="s">
        <v>478</v>
      </c>
      <c r="B305" s="245" t="s">
        <v>22</v>
      </c>
      <c r="C305" s="245" t="s">
        <v>10</v>
      </c>
      <c r="D305" s="245" t="s">
        <v>633</v>
      </c>
      <c r="E305" s="245" t="s">
        <v>477</v>
      </c>
      <c r="F305" s="230">
        <f>прил.4!G367</f>
        <v>452.2</v>
      </c>
      <c r="G305" s="230">
        <f>прил.4!H367</f>
        <v>3106.1</v>
      </c>
      <c r="H305" s="230">
        <f>прил.4!I367</f>
        <v>3106.1</v>
      </c>
    </row>
    <row r="306" spans="1:8" s="129" customFormat="1" ht="24" customHeight="1">
      <c r="A306" s="180" t="s">
        <v>470</v>
      </c>
      <c r="B306" s="245" t="s">
        <v>22</v>
      </c>
      <c r="C306" s="245" t="s">
        <v>10</v>
      </c>
      <c r="D306" s="245" t="s">
        <v>633</v>
      </c>
      <c r="E306" s="245" t="s">
        <v>471</v>
      </c>
      <c r="F306" s="230">
        <f>прил.4!G368</f>
        <v>350</v>
      </c>
      <c r="G306" s="230">
        <f>прил.4!H368</f>
        <v>262.2</v>
      </c>
      <c r="H306" s="230">
        <f>G306</f>
        <v>262.2</v>
      </c>
    </row>
    <row r="307" spans="1:8" s="129" customFormat="1" ht="25.5" customHeight="1">
      <c r="A307" s="249" t="s">
        <v>876</v>
      </c>
      <c r="B307" s="248" t="s">
        <v>22</v>
      </c>
      <c r="C307" s="248" t="s">
        <v>50</v>
      </c>
      <c r="D307" s="310"/>
      <c r="E307" s="248"/>
      <c r="F307" s="181">
        <f>F308+F310</f>
        <v>17226.5</v>
      </c>
      <c r="G307" s="181">
        <f>G308+G310</f>
        <v>0</v>
      </c>
      <c r="H307" s="181">
        <f>H308+H310</f>
        <v>0</v>
      </c>
    </row>
    <row r="308" spans="1:8" s="129" customFormat="1" ht="135.75" customHeight="1">
      <c r="A308" s="180" t="s">
        <v>877</v>
      </c>
      <c r="B308" s="245" t="s">
        <v>22</v>
      </c>
      <c r="C308" s="245" t="s">
        <v>50</v>
      </c>
      <c r="D308" s="251" t="s">
        <v>548</v>
      </c>
      <c r="E308" s="245"/>
      <c r="F308" s="230">
        <f>F309</f>
        <v>150</v>
      </c>
      <c r="G308" s="230">
        <f>G309</f>
        <v>0</v>
      </c>
      <c r="H308" s="230">
        <f>H309</f>
        <v>0</v>
      </c>
    </row>
    <row r="309" spans="1:8" s="129" customFormat="1" ht="47.25" customHeight="1">
      <c r="A309" s="180" t="s">
        <v>630</v>
      </c>
      <c r="B309" s="245" t="s">
        <v>22</v>
      </c>
      <c r="C309" s="245" t="s">
        <v>50</v>
      </c>
      <c r="D309" s="251" t="s">
        <v>548</v>
      </c>
      <c r="E309" s="245" t="s">
        <v>477</v>
      </c>
      <c r="F309" s="230">
        <f>прил.4!G371</f>
        <v>150</v>
      </c>
      <c r="G309" s="230">
        <f>прил.4!H371</f>
        <v>0</v>
      </c>
      <c r="H309" s="230">
        <f>прил.4!I371</f>
        <v>0</v>
      </c>
    </row>
    <row r="310" spans="1:8" s="129" customFormat="1" ht="147.75" customHeight="1">
      <c r="A310" s="180" t="s">
        <v>869</v>
      </c>
      <c r="B310" s="245" t="s">
        <v>22</v>
      </c>
      <c r="C310" s="245" t="s">
        <v>50</v>
      </c>
      <c r="D310" s="251" t="s">
        <v>870</v>
      </c>
      <c r="E310" s="245"/>
      <c r="F310" s="230">
        <f>F311</f>
        <v>17076.5</v>
      </c>
      <c r="G310" s="230">
        <f>G311</f>
        <v>0</v>
      </c>
      <c r="H310" s="230">
        <f>H311</f>
        <v>0</v>
      </c>
    </row>
    <row r="311" spans="1:8" s="129" customFormat="1" ht="54.75" customHeight="1">
      <c r="A311" s="180" t="s">
        <v>639</v>
      </c>
      <c r="B311" s="245" t="s">
        <v>22</v>
      </c>
      <c r="C311" s="245" t="s">
        <v>50</v>
      </c>
      <c r="D311" s="251" t="s">
        <v>871</v>
      </c>
      <c r="E311" s="245" t="s">
        <v>481</v>
      </c>
      <c r="F311" s="230">
        <f>прил.4!G185</f>
        <v>17076.5</v>
      </c>
      <c r="G311" s="230">
        <f>прил.4!H185</f>
        <v>0</v>
      </c>
      <c r="H311" s="230">
        <v>0</v>
      </c>
    </row>
    <row r="312" spans="1:8" ht="39.75" customHeight="1">
      <c r="A312" s="249" t="s">
        <v>139</v>
      </c>
      <c r="B312" s="245" t="s">
        <v>22</v>
      </c>
      <c r="C312" s="245" t="s">
        <v>44</v>
      </c>
      <c r="D312" s="245"/>
      <c r="E312" s="245"/>
      <c r="F312" s="230">
        <f>F313</f>
        <v>2130.8000000000002</v>
      </c>
      <c r="G312" s="230">
        <f>G313</f>
        <v>2765.9</v>
      </c>
      <c r="H312" s="230">
        <f>H313</f>
        <v>2765.9</v>
      </c>
    </row>
    <row r="313" spans="1:8" ht="129.75" customHeight="1">
      <c r="A313" s="180" t="s">
        <v>945</v>
      </c>
      <c r="B313" s="245" t="s">
        <v>22</v>
      </c>
      <c r="C313" s="245" t="s">
        <v>44</v>
      </c>
      <c r="D313" s="245" t="s">
        <v>548</v>
      </c>
      <c r="E313" s="245"/>
      <c r="F313" s="230">
        <f>F314+F315+F316</f>
        <v>2130.8000000000002</v>
      </c>
      <c r="G313" s="230">
        <f>G314+G315+G316</f>
        <v>2765.9</v>
      </c>
      <c r="H313" s="230">
        <f>H314+H315+H316</f>
        <v>2765.9</v>
      </c>
    </row>
    <row r="314" spans="1:8" ht="101.25" customHeight="1">
      <c r="A314" s="180" t="s">
        <v>482</v>
      </c>
      <c r="B314" s="245" t="s">
        <v>22</v>
      </c>
      <c r="C314" s="245" t="s">
        <v>44</v>
      </c>
      <c r="D314" s="245" t="s">
        <v>548</v>
      </c>
      <c r="E314" s="245" t="s">
        <v>483</v>
      </c>
      <c r="F314" s="230">
        <f>прил.4!G374</f>
        <v>1638.2</v>
      </c>
      <c r="G314" s="230">
        <f>прил.4!H374</f>
        <v>1978.5</v>
      </c>
      <c r="H314" s="230">
        <f>прил.4!I374</f>
        <v>1978.5</v>
      </c>
    </row>
    <row r="315" spans="1:8" ht="38.25" customHeight="1">
      <c r="A315" s="180" t="s">
        <v>630</v>
      </c>
      <c r="B315" s="245" t="s">
        <v>22</v>
      </c>
      <c r="C315" s="245" t="s">
        <v>44</v>
      </c>
      <c r="D315" s="245" t="s">
        <v>548</v>
      </c>
      <c r="E315" s="245" t="s">
        <v>477</v>
      </c>
      <c r="F315" s="230">
        <f>прил.4!G375</f>
        <v>491.6</v>
      </c>
      <c r="G315" s="230">
        <f>прил.4!H375</f>
        <v>786.4</v>
      </c>
      <c r="H315" s="230">
        <f>прил.4!I375</f>
        <v>786.4</v>
      </c>
    </row>
    <row r="316" spans="1:8" ht="20.25" customHeight="1">
      <c r="A316" s="180" t="s">
        <v>470</v>
      </c>
      <c r="B316" s="245" t="s">
        <v>22</v>
      </c>
      <c r="C316" s="245" t="s">
        <v>44</v>
      </c>
      <c r="D316" s="245" t="s">
        <v>548</v>
      </c>
      <c r="E316" s="245" t="s">
        <v>471</v>
      </c>
      <c r="F316" s="230">
        <f>прил.4!G376</f>
        <v>1</v>
      </c>
      <c r="G316" s="230">
        <f>прил.4!H376</f>
        <v>1</v>
      </c>
      <c r="H316" s="230">
        <f>прил.4!I376</f>
        <v>1</v>
      </c>
    </row>
    <row r="317" spans="1:8" s="189" customFormat="1" ht="19.5" customHeight="1">
      <c r="A317" s="249" t="s">
        <v>135</v>
      </c>
      <c r="B317" s="248" t="s">
        <v>24</v>
      </c>
      <c r="C317" s="248" t="s">
        <v>469</v>
      </c>
      <c r="D317" s="248"/>
      <c r="E317" s="248"/>
      <c r="F317" s="181">
        <f t="shared" ref="F317:H318" si="16">F318</f>
        <v>6779.0999999999995</v>
      </c>
      <c r="G317" s="181">
        <f t="shared" si="16"/>
        <v>6948.2</v>
      </c>
      <c r="H317" s="181">
        <f t="shared" si="16"/>
        <v>6956.1</v>
      </c>
    </row>
    <row r="318" spans="1:8" s="189" customFormat="1" ht="25.5" customHeight="1">
      <c r="A318" s="249" t="s">
        <v>136</v>
      </c>
      <c r="B318" s="248" t="s">
        <v>24</v>
      </c>
      <c r="C318" s="248" t="s">
        <v>50</v>
      </c>
      <c r="D318" s="248"/>
      <c r="E318" s="248"/>
      <c r="F318" s="181">
        <f t="shared" si="16"/>
        <v>6779.0999999999995</v>
      </c>
      <c r="G318" s="181">
        <f t="shared" si="16"/>
        <v>6948.2</v>
      </c>
      <c r="H318" s="181">
        <f t="shared" si="16"/>
        <v>6956.1</v>
      </c>
    </row>
    <row r="319" spans="1:8" s="189" customFormat="1" ht="120" customHeight="1">
      <c r="A319" s="180" t="s">
        <v>936</v>
      </c>
      <c r="B319" s="245" t="s">
        <v>24</v>
      </c>
      <c r="C319" s="245" t="s">
        <v>50</v>
      </c>
      <c r="D319" s="245" t="s">
        <v>534</v>
      </c>
      <c r="E319" s="245"/>
      <c r="F319" s="230">
        <f>F320+F321+F322</f>
        <v>6779.0999999999995</v>
      </c>
      <c r="G319" s="230">
        <f>G320+G321+G322</f>
        <v>6948.2</v>
      </c>
      <c r="H319" s="230">
        <f>H320+H321+H322</f>
        <v>6956.1</v>
      </c>
    </row>
    <row r="320" spans="1:8" ht="94.5">
      <c r="A320" s="180" t="s">
        <v>482</v>
      </c>
      <c r="B320" s="245" t="s">
        <v>24</v>
      </c>
      <c r="C320" s="245" t="s">
        <v>50</v>
      </c>
      <c r="D320" s="245" t="s">
        <v>534</v>
      </c>
      <c r="E320" s="245" t="s">
        <v>483</v>
      </c>
      <c r="F320" s="230">
        <f>прил.4!G251</f>
        <v>4367.8999999999996</v>
      </c>
      <c r="G320" s="230">
        <f>прил.4!H251</f>
        <v>4539.3</v>
      </c>
      <c r="H320" s="230">
        <f>прил.4!I251</f>
        <v>4539.3</v>
      </c>
    </row>
    <row r="321" spans="1:13" ht="37.5" customHeight="1">
      <c r="A321" s="180" t="s">
        <v>630</v>
      </c>
      <c r="B321" s="245" t="s">
        <v>24</v>
      </c>
      <c r="C321" s="245" t="s">
        <v>50</v>
      </c>
      <c r="D321" s="245" t="s">
        <v>534</v>
      </c>
      <c r="E321" s="245" t="s">
        <v>477</v>
      </c>
      <c r="F321" s="230">
        <f>прил.4!G252</f>
        <v>2411.1999999999998</v>
      </c>
      <c r="G321" s="230">
        <f>прил.4!H252</f>
        <v>2408.7000000000003</v>
      </c>
      <c r="H321" s="230">
        <f>прил.4!I252</f>
        <v>2416.6000000000004</v>
      </c>
    </row>
    <row r="322" spans="1:13" ht="24" customHeight="1">
      <c r="A322" s="180" t="s">
        <v>470</v>
      </c>
      <c r="B322" s="245" t="s">
        <v>24</v>
      </c>
      <c r="C322" s="245" t="s">
        <v>50</v>
      </c>
      <c r="D322" s="245" t="s">
        <v>534</v>
      </c>
      <c r="E322" s="245" t="s">
        <v>471</v>
      </c>
      <c r="F322" s="230">
        <f>прил.4!G253</f>
        <v>0</v>
      </c>
      <c r="G322" s="230">
        <f>прил.4!H253</f>
        <v>0.2</v>
      </c>
      <c r="H322" s="230">
        <f>прил.4!I253</f>
        <v>0.2</v>
      </c>
    </row>
    <row r="323" spans="1:13" ht="36" customHeight="1">
      <c r="A323" s="249" t="s">
        <v>162</v>
      </c>
      <c r="B323" s="248" t="s">
        <v>154</v>
      </c>
      <c r="C323" s="248"/>
      <c r="D323" s="248"/>
      <c r="E323" s="248"/>
      <c r="F323" s="181">
        <f t="shared" ref="F323:H325" si="17">F324</f>
        <v>1458.3</v>
      </c>
      <c r="G323" s="181">
        <f t="shared" si="17"/>
        <v>8750</v>
      </c>
      <c r="H323" s="181">
        <f t="shared" si="17"/>
        <v>8750</v>
      </c>
    </row>
    <row r="324" spans="1:13" ht="31.5">
      <c r="A324" s="180" t="s">
        <v>166</v>
      </c>
      <c r="B324" s="245" t="s">
        <v>154</v>
      </c>
      <c r="C324" s="245" t="s">
        <v>10</v>
      </c>
      <c r="D324" s="245"/>
      <c r="E324" s="245"/>
      <c r="F324" s="230">
        <f t="shared" si="17"/>
        <v>1458.3</v>
      </c>
      <c r="G324" s="230">
        <f t="shared" si="17"/>
        <v>8750</v>
      </c>
      <c r="H324" s="230">
        <f t="shared" si="17"/>
        <v>8750</v>
      </c>
    </row>
    <row r="325" spans="1:13" ht="31.5">
      <c r="A325" s="180" t="s">
        <v>160</v>
      </c>
      <c r="B325" s="245" t="s">
        <v>154</v>
      </c>
      <c r="C325" s="245" t="s">
        <v>10</v>
      </c>
      <c r="D325" s="245" t="s">
        <v>882</v>
      </c>
      <c r="E325" s="245"/>
      <c r="F325" s="230">
        <f t="shared" si="17"/>
        <v>1458.3</v>
      </c>
      <c r="G325" s="230">
        <f t="shared" si="17"/>
        <v>8750</v>
      </c>
      <c r="H325" s="230">
        <f t="shared" si="17"/>
        <v>8750</v>
      </c>
    </row>
    <row r="326" spans="1:13" ht="36" customHeight="1">
      <c r="A326" s="180" t="s">
        <v>188</v>
      </c>
      <c r="B326" s="245" t="s">
        <v>154</v>
      </c>
      <c r="C326" s="245" t="s">
        <v>10</v>
      </c>
      <c r="D326" s="245" t="s">
        <v>882</v>
      </c>
      <c r="E326" s="245" t="s">
        <v>883</v>
      </c>
      <c r="F326" s="230">
        <f>прил.4!G117</f>
        <v>1458.3</v>
      </c>
      <c r="G326" s="230">
        <f>прил.4!H117</f>
        <v>8750</v>
      </c>
      <c r="H326" s="230">
        <f>прил.4!I117</f>
        <v>8750</v>
      </c>
    </row>
    <row r="327" spans="1:13">
      <c r="A327" s="263" t="s">
        <v>104</v>
      </c>
      <c r="B327" s="178"/>
      <c r="C327" s="178"/>
      <c r="D327" s="178"/>
      <c r="E327" s="178"/>
      <c r="F327" s="181">
        <f>F24+F92+F103+F130+F172+F246+F275+F295+F318+F20+F323</f>
        <v>4419486.7999999989</v>
      </c>
      <c r="G327" s="181">
        <f>G24+G92+G103+G130+G172+G246+G275+G295+G318+G20+G323</f>
        <v>4116750.6</v>
      </c>
      <c r="H327" s="181">
        <f>H24+H92+H103+H130+H172+H246+H275+H295+H318+H20+H323</f>
        <v>3978208.6000000006</v>
      </c>
    </row>
    <row r="328" spans="1:13">
      <c r="A328" s="190"/>
      <c r="B328" s="191"/>
      <c r="C328" s="191"/>
      <c r="D328" s="264"/>
      <c r="E328" s="265"/>
      <c r="F328" s="302"/>
      <c r="G328" s="303"/>
      <c r="H328" s="303"/>
    </row>
    <row r="329" spans="1:13">
      <c r="B329" s="185"/>
      <c r="C329" s="185"/>
      <c r="D329" s="185"/>
      <c r="E329" s="185"/>
      <c r="F329" s="268"/>
      <c r="G329" s="268"/>
      <c r="H329" s="268"/>
    </row>
    <row r="330" spans="1:13" s="129" customFormat="1">
      <c r="A330" s="129" t="s">
        <v>1146</v>
      </c>
      <c r="B330" s="63"/>
      <c r="C330" s="63"/>
      <c r="D330" s="63"/>
      <c r="E330" s="63"/>
      <c r="F330" s="63"/>
      <c r="G330" s="63"/>
      <c r="H330" s="304"/>
      <c r="I330" s="205"/>
      <c r="K330" s="235"/>
      <c r="L330" s="235"/>
      <c r="M330" s="235"/>
    </row>
    <row r="331" spans="1:13" s="129" customFormat="1">
      <c r="A331" s="129" t="s">
        <v>1141</v>
      </c>
      <c r="B331" s="63"/>
      <c r="C331" s="63"/>
      <c r="D331" s="63"/>
      <c r="E331" s="63"/>
      <c r="F331" s="63"/>
      <c r="G331" s="63"/>
      <c r="H331" s="304"/>
      <c r="I331" s="205"/>
    </row>
    <row r="332" spans="1:13">
      <c r="A332" s="336" t="s">
        <v>1147</v>
      </c>
      <c r="B332" s="336"/>
      <c r="C332" s="336"/>
      <c r="D332" s="336"/>
      <c r="E332" s="336"/>
      <c r="F332" s="336"/>
      <c r="G332" s="336"/>
      <c r="H332" s="336"/>
    </row>
  </sheetData>
  <autoFilter ref="A19:H327"/>
  <mergeCells count="12">
    <mergeCell ref="A332:H332"/>
    <mergeCell ref="G17:G18"/>
    <mergeCell ref="F17:F18"/>
    <mergeCell ref="A9:H9"/>
    <mergeCell ref="A10:H10"/>
    <mergeCell ref="A11:H11"/>
    <mergeCell ref="A12:H12"/>
    <mergeCell ref="A13:H13"/>
    <mergeCell ref="H17:H18"/>
    <mergeCell ref="A17:A18"/>
    <mergeCell ref="A14:H14"/>
    <mergeCell ref="B17:E17"/>
  </mergeCells>
  <pageMargins left="0.59055118110236227" right="0.59055118110236227" top="1.1811023622047245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9"/>
  <sheetViews>
    <sheetView zoomScaleNormal="100" workbookViewId="0">
      <selection activeCell="F7" sqref="F7"/>
    </sheetView>
  </sheetViews>
  <sheetFormatPr defaultRowHeight="15.75"/>
  <cols>
    <col min="1" max="1" width="66.140625" style="185" customWidth="1"/>
    <col min="2" max="2" width="14.7109375" style="268" customWidth="1"/>
    <col min="3" max="3" width="10.85546875" style="268" customWidth="1"/>
    <col min="4" max="4" width="14.85546875" style="268" customWidth="1"/>
    <col min="5" max="5" width="14.7109375" style="185" customWidth="1"/>
    <col min="6" max="6" width="15.28515625" style="185" customWidth="1"/>
    <col min="7" max="16384" width="9.140625" style="185"/>
  </cols>
  <sheetData>
    <row r="1" spans="1:6">
      <c r="B1" s="266"/>
      <c r="C1" s="266"/>
      <c r="D1" s="266"/>
      <c r="E1" s="182"/>
      <c r="F1" s="171" t="s">
        <v>686</v>
      </c>
    </row>
    <row r="2" spans="1:6">
      <c r="A2" s="193"/>
      <c r="B2" s="193"/>
      <c r="E2" s="4"/>
      <c r="F2" s="168" t="s">
        <v>433</v>
      </c>
    </row>
    <row r="3" spans="1:6" s="9" customFormat="1" ht="12.75">
      <c r="B3" s="13"/>
      <c r="C3" s="13"/>
      <c r="D3" s="13"/>
      <c r="F3" s="15" t="s">
        <v>1119</v>
      </c>
    </row>
    <row r="4" spans="1:6">
      <c r="E4" s="169"/>
      <c r="F4" s="15" t="s">
        <v>1120</v>
      </c>
    </row>
    <row r="5" spans="1:6">
      <c r="E5" s="169"/>
      <c r="F5" s="15" t="s">
        <v>1121</v>
      </c>
    </row>
    <row r="6" spans="1:6">
      <c r="E6" s="169"/>
      <c r="F6" s="169" t="s">
        <v>1122</v>
      </c>
    </row>
    <row r="7" spans="1:6">
      <c r="E7" s="169"/>
      <c r="F7" s="321" t="s">
        <v>1157</v>
      </c>
    </row>
    <row r="8" spans="1:6">
      <c r="E8" s="169"/>
      <c r="F8" s="169"/>
    </row>
    <row r="10" spans="1:6">
      <c r="A10" s="338" t="s">
        <v>498</v>
      </c>
      <c r="B10" s="338"/>
      <c r="C10" s="338"/>
      <c r="D10" s="338"/>
      <c r="E10" s="338"/>
      <c r="F10" s="338"/>
    </row>
    <row r="11" spans="1:6">
      <c r="A11" s="338" t="s">
        <v>499</v>
      </c>
      <c r="B11" s="338"/>
      <c r="C11" s="338"/>
      <c r="D11" s="338"/>
      <c r="E11" s="338"/>
      <c r="F11" s="338"/>
    </row>
    <row r="12" spans="1:6">
      <c r="A12" s="338" t="s">
        <v>616</v>
      </c>
      <c r="B12" s="338"/>
      <c r="C12" s="338"/>
      <c r="D12" s="338"/>
      <c r="E12" s="338"/>
      <c r="F12" s="338"/>
    </row>
    <row r="13" spans="1:6">
      <c r="A13" s="338" t="s">
        <v>617</v>
      </c>
      <c r="B13" s="338"/>
      <c r="C13" s="338"/>
      <c r="D13" s="338"/>
      <c r="E13" s="338"/>
      <c r="F13" s="338"/>
    </row>
    <row r="14" spans="1:6">
      <c r="A14" s="338" t="s">
        <v>1125</v>
      </c>
      <c r="B14" s="338"/>
      <c r="C14" s="338"/>
      <c r="D14" s="338"/>
      <c r="E14" s="338"/>
      <c r="F14" s="338"/>
    </row>
    <row r="15" spans="1:6">
      <c r="A15" s="268"/>
      <c r="E15" s="269"/>
      <c r="F15" s="269"/>
    </row>
    <row r="16" spans="1:6">
      <c r="F16" s="188" t="s">
        <v>0</v>
      </c>
    </row>
    <row r="17" spans="1:6" ht="31.5">
      <c r="A17" s="311" t="s">
        <v>2</v>
      </c>
      <c r="B17" s="243" t="s">
        <v>107</v>
      </c>
      <c r="C17" s="311" t="s">
        <v>8</v>
      </c>
      <c r="D17" s="311" t="s">
        <v>1040</v>
      </c>
      <c r="E17" s="318" t="s">
        <v>622</v>
      </c>
      <c r="F17" s="318" t="s">
        <v>665</v>
      </c>
    </row>
    <row r="18" spans="1:6">
      <c r="A18" s="311">
        <v>1</v>
      </c>
      <c r="B18" s="243" t="s">
        <v>497</v>
      </c>
      <c r="C18" s="311">
        <v>3</v>
      </c>
      <c r="D18" s="311"/>
      <c r="E18" s="243" t="s">
        <v>613</v>
      </c>
      <c r="F18" s="311">
        <v>5</v>
      </c>
    </row>
    <row r="19" spans="1:6" s="194" customFormat="1">
      <c r="A19" s="246" t="s">
        <v>104</v>
      </c>
      <c r="B19" s="250"/>
      <c r="C19" s="312"/>
      <c r="D19" s="258">
        <f>D21+D68+D73+D111+D123+D150+D169+D182+D187+D202+D212+D225+D20+D66+D64+D62</f>
        <v>4419486.8</v>
      </c>
      <c r="E19" s="258">
        <f>E21+E68+E73+E111+E123+E150+E169+E182+E187+E202+E212+E225+E20+E66+E64+E62</f>
        <v>4116750.5999999996</v>
      </c>
      <c r="F19" s="258">
        <f>F21+F68+F73+F111+F123+F150+F169+F182+F187+F202+F212+F225+F20+F66+F64+F62</f>
        <v>3978208.6000000006</v>
      </c>
    </row>
    <row r="20" spans="1:6" s="194" customFormat="1">
      <c r="A20" s="246" t="s">
        <v>609</v>
      </c>
      <c r="B20" s="250"/>
      <c r="C20" s="312"/>
      <c r="D20" s="258">
        <f>прил.5!F23</f>
        <v>0</v>
      </c>
      <c r="E20" s="258">
        <f>прил.5!G23</f>
        <v>42750</v>
      </c>
      <c r="F20" s="258">
        <f>прил.5!H23</f>
        <v>78720</v>
      </c>
    </row>
    <row r="21" spans="1:6" ht="31.5">
      <c r="A21" s="249" t="s">
        <v>949</v>
      </c>
      <c r="B21" s="250" t="s">
        <v>552</v>
      </c>
      <c r="C21" s="312"/>
      <c r="D21" s="258">
        <f>D22+D45+D57+D54</f>
        <v>2381377.9</v>
      </c>
      <c r="E21" s="258">
        <f>E22+E45+E57+E54</f>
        <v>2339425.0999999996</v>
      </c>
      <c r="F21" s="258">
        <f>F22+F45+F57+F54</f>
        <v>2332582</v>
      </c>
    </row>
    <row r="22" spans="1:6" ht="51.75" customHeight="1">
      <c r="A22" s="249" t="s">
        <v>950</v>
      </c>
      <c r="B22" s="250" t="s">
        <v>551</v>
      </c>
      <c r="C22" s="312"/>
      <c r="D22" s="258">
        <f>D23+D27+D31+D35+D37+D41+D43+D33+D25</f>
        <v>2237128.4</v>
      </c>
      <c r="E22" s="258">
        <f>E23+E27+E31+E35+E37+E41+E43+E33+E25</f>
        <v>2189774.1999999997</v>
      </c>
      <c r="F22" s="258">
        <f>F23+F27+F31+F35+F37+F41+F43+F33+F25</f>
        <v>2182931.1</v>
      </c>
    </row>
    <row r="23" spans="1:6" ht="145.5" customHeight="1">
      <c r="A23" s="180" t="s">
        <v>602</v>
      </c>
      <c r="B23" s="245" t="s">
        <v>537</v>
      </c>
      <c r="C23" s="245"/>
      <c r="D23" s="230">
        <f>D24</f>
        <v>717234.6</v>
      </c>
      <c r="E23" s="200">
        <f>E24</f>
        <v>710238.9</v>
      </c>
      <c r="F23" s="200">
        <f>F24</f>
        <v>710238.9</v>
      </c>
    </row>
    <row r="24" spans="1:6" ht="63">
      <c r="A24" s="180" t="s">
        <v>482</v>
      </c>
      <c r="B24" s="245" t="s">
        <v>537</v>
      </c>
      <c r="C24" s="245" t="s">
        <v>483</v>
      </c>
      <c r="D24" s="230">
        <f>прил.4!G287</f>
        <v>717234.6</v>
      </c>
      <c r="E24" s="200">
        <f>прил.4!H287</f>
        <v>710238.9</v>
      </c>
      <c r="F24" s="200">
        <f>прил.4!I287</f>
        <v>710238.9</v>
      </c>
    </row>
    <row r="25" spans="1:6" ht="126">
      <c r="A25" s="180" t="s">
        <v>627</v>
      </c>
      <c r="B25" s="245" t="s">
        <v>915</v>
      </c>
      <c r="C25" s="245"/>
      <c r="D25" s="230">
        <f>D26</f>
        <v>2468.1</v>
      </c>
      <c r="E25" s="200">
        <f>E26</f>
        <v>7781.2</v>
      </c>
      <c r="F25" s="200">
        <f>F26</f>
        <v>7781.2</v>
      </c>
    </row>
    <row r="26" spans="1:6" ht="31.5">
      <c r="A26" s="180" t="s">
        <v>630</v>
      </c>
      <c r="B26" s="245" t="s">
        <v>915</v>
      </c>
      <c r="C26" s="245" t="s">
        <v>477</v>
      </c>
      <c r="D26" s="230">
        <f>прил.4!G289</f>
        <v>2468.1</v>
      </c>
      <c r="E26" s="200">
        <f>прил.4!H289</f>
        <v>7781.2</v>
      </c>
      <c r="F26" s="200">
        <f>прил.4!I289</f>
        <v>7781.2</v>
      </c>
    </row>
    <row r="27" spans="1:6" ht="78.75">
      <c r="A27" s="180" t="s">
        <v>940</v>
      </c>
      <c r="B27" s="245" t="s">
        <v>538</v>
      </c>
      <c r="C27" s="245"/>
      <c r="D27" s="230">
        <f>SUM(D28:D30)</f>
        <v>280142.40000000002</v>
      </c>
      <c r="E27" s="200">
        <f>SUM(E28:E30)</f>
        <v>317299.8</v>
      </c>
      <c r="F27" s="200">
        <f>SUM(F28:F30)</f>
        <v>319267.40000000002</v>
      </c>
    </row>
    <row r="28" spans="1:6" s="129" customFormat="1" ht="63">
      <c r="A28" s="180" t="s">
        <v>482</v>
      </c>
      <c r="B28" s="245" t="s">
        <v>538</v>
      </c>
      <c r="C28" s="245" t="s">
        <v>483</v>
      </c>
      <c r="D28" s="230">
        <f>прил.4!G291</f>
        <v>1601.9</v>
      </c>
      <c r="E28" s="230">
        <f>прил.4!H291</f>
        <v>0</v>
      </c>
      <c r="F28" s="230">
        <f>прил.4!I291</f>
        <v>0</v>
      </c>
    </row>
    <row r="29" spans="1:6" ht="31.5">
      <c r="A29" s="180" t="s">
        <v>630</v>
      </c>
      <c r="B29" s="245" t="s">
        <v>538</v>
      </c>
      <c r="C29" s="245" t="s">
        <v>477</v>
      </c>
      <c r="D29" s="230">
        <f>прил.4!G292</f>
        <v>265368.2</v>
      </c>
      <c r="E29" s="200">
        <f>прил.4!H292</f>
        <v>304051.3</v>
      </c>
      <c r="F29" s="200">
        <f>прил.4!I292</f>
        <v>306018.90000000002</v>
      </c>
    </row>
    <row r="30" spans="1:6">
      <c r="A30" s="180" t="s">
        <v>470</v>
      </c>
      <c r="B30" s="245" t="s">
        <v>538</v>
      </c>
      <c r="C30" s="245" t="s">
        <v>471</v>
      </c>
      <c r="D30" s="230">
        <f>прил.4!G293</f>
        <v>13172.3</v>
      </c>
      <c r="E30" s="200">
        <f>прил.4!H293</f>
        <v>13248.5</v>
      </c>
      <c r="F30" s="200">
        <f>прил.4!I293</f>
        <v>13248.5</v>
      </c>
    </row>
    <row r="31" spans="1:6" ht="141.75">
      <c r="A31" s="180" t="s">
        <v>602</v>
      </c>
      <c r="B31" s="245" t="s">
        <v>540</v>
      </c>
      <c r="C31" s="245"/>
      <c r="D31" s="230">
        <f>D32</f>
        <v>946144.1</v>
      </c>
      <c r="E31" s="200">
        <f>E32</f>
        <v>955053</v>
      </c>
      <c r="F31" s="200">
        <f>F32</f>
        <v>955053</v>
      </c>
    </row>
    <row r="32" spans="1:6" ht="63">
      <c r="A32" s="180" t="s">
        <v>482</v>
      </c>
      <c r="B32" s="245" t="s">
        <v>540</v>
      </c>
      <c r="C32" s="245" t="s">
        <v>483</v>
      </c>
      <c r="D32" s="230">
        <f>прил.4!G303</f>
        <v>946144.1</v>
      </c>
      <c r="E32" s="200">
        <f>прил.4!H303</f>
        <v>955053</v>
      </c>
      <c r="F32" s="200">
        <f>прил.4!I303</f>
        <v>955053</v>
      </c>
    </row>
    <row r="33" spans="1:6" ht="31.5">
      <c r="A33" s="180" t="s">
        <v>681</v>
      </c>
      <c r="B33" s="245" t="s">
        <v>680</v>
      </c>
      <c r="C33" s="245"/>
      <c r="D33" s="230">
        <f>D34</f>
        <v>8.3000000000000007</v>
      </c>
      <c r="E33" s="200">
        <f>E34</f>
        <v>0</v>
      </c>
      <c r="F33" s="200">
        <f>F34</f>
        <v>0</v>
      </c>
    </row>
    <row r="34" spans="1:6" ht="63">
      <c r="A34" s="180" t="s">
        <v>482</v>
      </c>
      <c r="B34" s="245" t="s">
        <v>680</v>
      </c>
      <c r="C34" s="245" t="s">
        <v>483</v>
      </c>
      <c r="D34" s="230">
        <f>прил.4!G305</f>
        <v>8.3000000000000007</v>
      </c>
      <c r="E34" s="200">
        <f>прил.4!H305</f>
        <v>0</v>
      </c>
      <c r="F34" s="200">
        <f>прил.4!I305</f>
        <v>0</v>
      </c>
    </row>
    <row r="35" spans="1:6" ht="94.5">
      <c r="A35" s="180" t="s">
        <v>603</v>
      </c>
      <c r="B35" s="245" t="s">
        <v>541</v>
      </c>
      <c r="C35" s="245"/>
      <c r="D35" s="230">
        <f>D36</f>
        <v>71764.3</v>
      </c>
      <c r="E35" s="200">
        <f>E36</f>
        <v>13665.2</v>
      </c>
      <c r="F35" s="200">
        <f>F36</f>
        <v>13665.2</v>
      </c>
    </row>
    <row r="36" spans="1:6" ht="31.5">
      <c r="A36" s="180" t="s">
        <v>630</v>
      </c>
      <c r="B36" s="245" t="s">
        <v>541</v>
      </c>
      <c r="C36" s="245" t="s">
        <v>477</v>
      </c>
      <c r="D36" s="230">
        <f>прил.4!G307</f>
        <v>71764.3</v>
      </c>
      <c r="E36" s="200">
        <f>прил.4!H307</f>
        <v>13665.2</v>
      </c>
      <c r="F36" s="200">
        <f>прил.4!I307</f>
        <v>13665.2</v>
      </c>
    </row>
    <row r="37" spans="1:6" ht="78.75">
      <c r="A37" s="180" t="s">
        <v>940</v>
      </c>
      <c r="B37" s="245" t="s">
        <v>539</v>
      </c>
      <c r="C37" s="245"/>
      <c r="D37" s="230">
        <f>SUM(D38:D40)</f>
        <v>214693.40000000002</v>
      </c>
      <c r="E37" s="200">
        <f>SUM(E38:E40)</f>
        <v>181434.8</v>
      </c>
      <c r="F37" s="200">
        <f>SUM(F38:F40)</f>
        <v>172624.1</v>
      </c>
    </row>
    <row r="38" spans="1:6" s="129" customFormat="1" ht="63">
      <c r="A38" s="180" t="s">
        <v>482</v>
      </c>
      <c r="B38" s="245" t="s">
        <v>539</v>
      </c>
      <c r="C38" s="245" t="s">
        <v>483</v>
      </c>
      <c r="D38" s="230">
        <f>прил.4!G309</f>
        <v>7227.2</v>
      </c>
      <c r="E38" s="230">
        <f>прил.4!H309</f>
        <v>0</v>
      </c>
      <c r="F38" s="230">
        <f>прил.4!I309</f>
        <v>0</v>
      </c>
    </row>
    <row r="39" spans="1:6" ht="31.5">
      <c r="A39" s="180" t="s">
        <v>630</v>
      </c>
      <c r="B39" s="245" t="s">
        <v>539</v>
      </c>
      <c r="C39" s="245" t="s">
        <v>477</v>
      </c>
      <c r="D39" s="230">
        <f>прил.4!G310</f>
        <v>183668.6</v>
      </c>
      <c r="E39" s="200">
        <f>прил.4!H310</f>
        <v>159667.79999999999</v>
      </c>
      <c r="F39" s="200">
        <f>прил.4!I310</f>
        <v>150857.1</v>
      </c>
    </row>
    <row r="40" spans="1:6">
      <c r="A40" s="180" t="s">
        <v>470</v>
      </c>
      <c r="B40" s="245" t="s">
        <v>539</v>
      </c>
      <c r="C40" s="245" t="s">
        <v>471</v>
      </c>
      <c r="D40" s="230">
        <f>прил.4!G311</f>
        <v>23797.599999999999</v>
      </c>
      <c r="E40" s="200">
        <f>прил.4!H311</f>
        <v>21767</v>
      </c>
      <c r="F40" s="200">
        <f>прил.4!I311</f>
        <v>21767</v>
      </c>
    </row>
    <row r="41" spans="1:6" ht="110.25">
      <c r="A41" s="180" t="s">
        <v>941</v>
      </c>
      <c r="B41" s="251" t="s">
        <v>595</v>
      </c>
      <c r="C41" s="245"/>
      <c r="D41" s="230">
        <f>D42</f>
        <v>3461.9</v>
      </c>
      <c r="E41" s="200">
        <f>E42</f>
        <v>3461.9</v>
      </c>
      <c r="F41" s="200">
        <f>F42</f>
        <v>3461.9</v>
      </c>
    </row>
    <row r="42" spans="1:6" ht="31.5">
      <c r="A42" s="180" t="s">
        <v>478</v>
      </c>
      <c r="B42" s="251" t="s">
        <v>596</v>
      </c>
      <c r="C42" s="245" t="s">
        <v>477</v>
      </c>
      <c r="D42" s="230">
        <f>прил.4!G332</f>
        <v>3461.9</v>
      </c>
      <c r="E42" s="200">
        <f>прил.4!H332</f>
        <v>3461.9</v>
      </c>
      <c r="F42" s="200">
        <f>прил.4!I332</f>
        <v>3461.9</v>
      </c>
    </row>
    <row r="43" spans="1:6" ht="47.25">
      <c r="A43" s="180" t="s">
        <v>677</v>
      </c>
      <c r="B43" s="245" t="s">
        <v>679</v>
      </c>
      <c r="C43" s="245"/>
      <c r="D43" s="230">
        <f>D44</f>
        <v>1211.3</v>
      </c>
      <c r="E43" s="200">
        <f>E44</f>
        <v>839.4</v>
      </c>
      <c r="F43" s="200">
        <f>F44</f>
        <v>839.4</v>
      </c>
    </row>
    <row r="44" spans="1:6" ht="31.5">
      <c r="A44" s="180" t="s">
        <v>630</v>
      </c>
      <c r="B44" s="245" t="s">
        <v>679</v>
      </c>
      <c r="C44" s="245" t="s">
        <v>477</v>
      </c>
      <c r="D44" s="230">
        <f>прил.4!G313</f>
        <v>1211.3</v>
      </c>
      <c r="E44" s="200">
        <f>прил.4!H313</f>
        <v>839.4</v>
      </c>
      <c r="F44" s="200">
        <f>прил.4!I313</f>
        <v>839.4</v>
      </c>
    </row>
    <row r="45" spans="1:6" ht="48.75" customHeight="1">
      <c r="A45" s="249" t="s">
        <v>951</v>
      </c>
      <c r="B45" s="250" t="s">
        <v>600</v>
      </c>
      <c r="C45" s="312"/>
      <c r="D45" s="258">
        <f>D48+D52+D46</f>
        <v>131340.5</v>
      </c>
      <c r="E45" s="258">
        <f>E48+E52+E46</f>
        <v>136842.80000000002</v>
      </c>
      <c r="F45" s="258">
        <f>F48+F52+F46</f>
        <v>136842.80000000002</v>
      </c>
    </row>
    <row r="46" spans="1:6" ht="157.5">
      <c r="A46" s="180" t="s">
        <v>896</v>
      </c>
      <c r="B46" s="245" t="s">
        <v>897</v>
      </c>
      <c r="C46" s="245"/>
      <c r="D46" s="230">
        <f>D47</f>
        <v>863.3</v>
      </c>
      <c r="E46" s="200">
        <f>E47</f>
        <v>5179.7</v>
      </c>
      <c r="F46" s="200">
        <f>F47</f>
        <v>5179.7</v>
      </c>
    </row>
    <row r="47" spans="1:6" ht="63">
      <c r="A47" s="180" t="s">
        <v>482</v>
      </c>
      <c r="B47" s="245" t="s">
        <v>897</v>
      </c>
      <c r="C47" s="245" t="s">
        <v>483</v>
      </c>
      <c r="D47" s="230">
        <f>прил.4!G323</f>
        <v>863.3</v>
      </c>
      <c r="E47" s="200">
        <f>прил.4!H323</f>
        <v>5179.7</v>
      </c>
      <c r="F47" s="200">
        <f>прил.4!I323</f>
        <v>5179.7</v>
      </c>
    </row>
    <row r="48" spans="1:6" ht="78.75">
      <c r="A48" s="180" t="s">
        <v>933</v>
      </c>
      <c r="B48" s="243" t="s">
        <v>553</v>
      </c>
      <c r="C48" s="311"/>
      <c r="D48" s="200">
        <f>SUM(D49:D51)</f>
        <v>129059.3</v>
      </c>
      <c r="E48" s="200">
        <f>SUM(E49:E51)</f>
        <v>130237.00000000001</v>
      </c>
      <c r="F48" s="200">
        <f>SUM(F49:F51)</f>
        <v>130237.00000000001</v>
      </c>
    </row>
    <row r="49" spans="1:6" ht="63">
      <c r="A49" s="180" t="s">
        <v>482</v>
      </c>
      <c r="B49" s="243" t="s">
        <v>529</v>
      </c>
      <c r="C49" s="245" t="s">
        <v>483</v>
      </c>
      <c r="D49" s="230">
        <f>прил.5!F213</f>
        <v>121437.5</v>
      </c>
      <c r="E49" s="200">
        <f>прил.5!G213</f>
        <v>124315.70000000001</v>
      </c>
      <c r="F49" s="200">
        <f>прил.5!H213</f>
        <v>124315.70000000001</v>
      </c>
    </row>
    <row r="50" spans="1:6" ht="31.5">
      <c r="A50" s="180" t="s">
        <v>630</v>
      </c>
      <c r="B50" s="243" t="s">
        <v>529</v>
      </c>
      <c r="C50" s="245" t="s">
        <v>477</v>
      </c>
      <c r="D50" s="230">
        <f>прил.5!F214</f>
        <v>7220.1</v>
      </c>
      <c r="E50" s="200">
        <f>прил.5!G214</f>
        <v>5486.2</v>
      </c>
      <c r="F50" s="200">
        <f>прил.5!H214</f>
        <v>5486.2</v>
      </c>
    </row>
    <row r="51" spans="1:6">
      <c r="A51" s="180" t="s">
        <v>470</v>
      </c>
      <c r="B51" s="243" t="s">
        <v>529</v>
      </c>
      <c r="C51" s="245" t="s">
        <v>471</v>
      </c>
      <c r="D51" s="230">
        <f>прил.5!F215</f>
        <v>401.7</v>
      </c>
      <c r="E51" s="200">
        <f>прил.5!G215</f>
        <v>435.1</v>
      </c>
      <c r="F51" s="200">
        <f>прил.5!H215</f>
        <v>435.1</v>
      </c>
    </row>
    <row r="52" spans="1:6" ht="47.25">
      <c r="A52" s="180" t="s">
        <v>631</v>
      </c>
      <c r="B52" s="251" t="s">
        <v>632</v>
      </c>
      <c r="C52" s="245"/>
      <c r="D52" s="230">
        <f>D53</f>
        <v>1417.9</v>
      </c>
      <c r="E52" s="200">
        <f>E53</f>
        <v>1426.1</v>
      </c>
      <c r="F52" s="200">
        <f>F53</f>
        <v>1426.1</v>
      </c>
    </row>
    <row r="53" spans="1:6" ht="31.5">
      <c r="A53" s="180" t="s">
        <v>630</v>
      </c>
      <c r="B53" s="251" t="s">
        <v>632</v>
      </c>
      <c r="C53" s="245" t="s">
        <v>477</v>
      </c>
      <c r="D53" s="230">
        <f>прил.5!F233</f>
        <v>1417.9</v>
      </c>
      <c r="E53" s="200">
        <f>прил.5!G233</f>
        <v>1426.1</v>
      </c>
      <c r="F53" s="200">
        <f>прил.5!H233</f>
        <v>1426.1</v>
      </c>
    </row>
    <row r="54" spans="1:6" ht="63">
      <c r="A54" s="249" t="s">
        <v>952</v>
      </c>
      <c r="B54" s="250" t="s">
        <v>554</v>
      </c>
      <c r="C54" s="312"/>
      <c r="D54" s="258">
        <f t="shared" ref="D54:F55" si="0">D55</f>
        <v>550</v>
      </c>
      <c r="E54" s="258">
        <f t="shared" si="0"/>
        <v>550</v>
      </c>
      <c r="F54" s="258">
        <f t="shared" si="0"/>
        <v>550</v>
      </c>
    </row>
    <row r="55" spans="1:6" ht="78.75">
      <c r="A55" s="180" t="s">
        <v>943</v>
      </c>
      <c r="B55" s="243" t="s">
        <v>546</v>
      </c>
      <c r="C55" s="311"/>
      <c r="D55" s="200">
        <f t="shared" si="0"/>
        <v>550</v>
      </c>
      <c r="E55" s="200">
        <f t="shared" si="0"/>
        <v>550</v>
      </c>
      <c r="F55" s="200">
        <f t="shared" si="0"/>
        <v>550</v>
      </c>
    </row>
    <row r="56" spans="1:6" ht="31.5">
      <c r="A56" s="180" t="s">
        <v>630</v>
      </c>
      <c r="B56" s="243" t="s">
        <v>546</v>
      </c>
      <c r="C56" s="311">
        <v>200</v>
      </c>
      <c r="D56" s="200">
        <f>прил.4!G353</f>
        <v>550</v>
      </c>
      <c r="E56" s="200">
        <f>прил.4!H353</f>
        <v>550</v>
      </c>
      <c r="F56" s="200">
        <f>прил.4!I353</f>
        <v>550</v>
      </c>
    </row>
    <row r="57" spans="1:6" ht="47.25">
      <c r="A57" s="249" t="s">
        <v>953</v>
      </c>
      <c r="B57" s="250" t="s">
        <v>555</v>
      </c>
      <c r="C57" s="312"/>
      <c r="D57" s="258">
        <f>D58</f>
        <v>12359</v>
      </c>
      <c r="E57" s="258">
        <f>E58</f>
        <v>12258.1</v>
      </c>
      <c r="F57" s="258">
        <f>F58</f>
        <v>12258.1</v>
      </c>
    </row>
    <row r="58" spans="1:6" ht="78.75">
      <c r="A58" s="180" t="s">
        <v>942</v>
      </c>
      <c r="B58" s="243" t="s">
        <v>542</v>
      </c>
      <c r="C58" s="311"/>
      <c r="D58" s="200">
        <f>D59+D60+D61</f>
        <v>12359</v>
      </c>
      <c r="E58" s="200">
        <f>E59+E60+E61</f>
        <v>12258.1</v>
      </c>
      <c r="F58" s="200">
        <f>F59+F60+F61</f>
        <v>12258.1</v>
      </c>
    </row>
    <row r="59" spans="1:6" ht="63">
      <c r="A59" s="180" t="s">
        <v>482</v>
      </c>
      <c r="B59" s="243" t="s">
        <v>542</v>
      </c>
      <c r="C59" s="311">
        <v>100</v>
      </c>
      <c r="D59" s="200">
        <f>прил.4!G340</f>
        <v>10250.4</v>
      </c>
      <c r="E59" s="200">
        <f>прил.4!H340</f>
        <v>10341</v>
      </c>
      <c r="F59" s="200">
        <f>прил.4!I340</f>
        <v>10341</v>
      </c>
    </row>
    <row r="60" spans="1:6" ht="31.5">
      <c r="A60" s="180" t="s">
        <v>630</v>
      </c>
      <c r="B60" s="243" t="s">
        <v>542</v>
      </c>
      <c r="C60" s="311">
        <v>200</v>
      </c>
      <c r="D60" s="200">
        <f>прил.4!G341</f>
        <v>1523.2</v>
      </c>
      <c r="E60" s="200">
        <f>прил.4!H341</f>
        <v>1305.9000000000001</v>
      </c>
      <c r="F60" s="200">
        <f>прил.4!I341</f>
        <v>1305.9000000000001</v>
      </c>
    </row>
    <row r="61" spans="1:6">
      <c r="A61" s="180" t="s">
        <v>470</v>
      </c>
      <c r="B61" s="243" t="s">
        <v>542</v>
      </c>
      <c r="C61" s="311">
        <v>800</v>
      </c>
      <c r="D61" s="200">
        <f>прил.4!G342</f>
        <v>585.4</v>
      </c>
      <c r="E61" s="200">
        <f>прил.4!H342</f>
        <v>611.20000000000005</v>
      </c>
      <c r="F61" s="200">
        <f>прил.4!I342</f>
        <v>611.20000000000005</v>
      </c>
    </row>
    <row r="62" spans="1:6" s="129" customFormat="1" ht="47.25">
      <c r="A62" s="249" t="s">
        <v>588</v>
      </c>
      <c r="B62" s="270" t="s">
        <v>519</v>
      </c>
      <c r="C62" s="248"/>
      <c r="D62" s="181">
        <f>D63</f>
        <v>130</v>
      </c>
      <c r="E62" s="181">
        <f>E63</f>
        <v>130</v>
      </c>
      <c r="F62" s="181">
        <f>F63</f>
        <v>130</v>
      </c>
    </row>
    <row r="63" spans="1:6" s="129" customFormat="1" ht="31.5">
      <c r="A63" s="180" t="s">
        <v>630</v>
      </c>
      <c r="B63" s="251" t="s">
        <v>519</v>
      </c>
      <c r="C63" s="245" t="s">
        <v>477</v>
      </c>
      <c r="D63" s="230">
        <f>прил.4!G347</f>
        <v>130</v>
      </c>
      <c r="E63" s="230">
        <f>прил.4!H347</f>
        <v>130</v>
      </c>
      <c r="F63" s="230">
        <f>прил.4!I347</f>
        <v>130</v>
      </c>
    </row>
    <row r="64" spans="1:6" s="194" customFormat="1" ht="47.25">
      <c r="A64" s="249" t="s">
        <v>589</v>
      </c>
      <c r="B64" s="248" t="s">
        <v>517</v>
      </c>
      <c r="C64" s="248"/>
      <c r="D64" s="181">
        <f>D65</f>
        <v>21398.1</v>
      </c>
      <c r="E64" s="258">
        <f>E65</f>
        <v>37480.800000000003</v>
      </c>
      <c r="F64" s="258">
        <f>F65</f>
        <v>33369.699999999997</v>
      </c>
    </row>
    <row r="65" spans="1:6" ht="31.5">
      <c r="A65" s="180" t="s">
        <v>630</v>
      </c>
      <c r="B65" s="245" t="s">
        <v>517</v>
      </c>
      <c r="C65" s="245" t="s">
        <v>477</v>
      </c>
      <c r="D65" s="230">
        <f>прил.4!G349+прил.4!G295+прил.4!G315+прил.4!G33+прил.4!G338+прил.4!G218</f>
        <v>21398.1</v>
      </c>
      <c r="E65" s="200">
        <f>прил.4!H349+прил.4!H295+прил.4!H315+прил.4!H33</f>
        <v>37480.800000000003</v>
      </c>
      <c r="F65" s="200">
        <f>прил.4!I349+прил.4!I295+прил.4!I315+прил.4!I33</f>
        <v>33369.699999999997</v>
      </c>
    </row>
    <row r="66" spans="1:6" s="194" customFormat="1" ht="47.25">
      <c r="A66" s="249" t="s">
        <v>590</v>
      </c>
      <c r="B66" s="248" t="s">
        <v>518</v>
      </c>
      <c r="C66" s="248"/>
      <c r="D66" s="181">
        <f>D67</f>
        <v>130</v>
      </c>
      <c r="E66" s="258">
        <f>E67</f>
        <v>130</v>
      </c>
      <c r="F66" s="258">
        <f>F67</f>
        <v>130</v>
      </c>
    </row>
    <row r="67" spans="1:6" ht="31.5">
      <c r="A67" s="180" t="s">
        <v>630</v>
      </c>
      <c r="B67" s="245" t="s">
        <v>518</v>
      </c>
      <c r="C67" s="245" t="s">
        <v>477</v>
      </c>
      <c r="D67" s="230">
        <f>прил.4!G351+прил.4!G36</f>
        <v>130</v>
      </c>
      <c r="E67" s="200">
        <f>прил.4!H351+прил.4!H36</f>
        <v>130</v>
      </c>
      <c r="F67" s="200">
        <f>прил.4!I351+прил.4!I36</f>
        <v>130</v>
      </c>
    </row>
    <row r="68" spans="1:6" ht="47.25">
      <c r="A68" s="249" t="s">
        <v>607</v>
      </c>
      <c r="B68" s="250" t="s">
        <v>557</v>
      </c>
      <c r="C68" s="312"/>
      <c r="D68" s="258">
        <f>D69+D71</f>
        <v>5431.5</v>
      </c>
      <c r="E68" s="258">
        <f>E69+E71</f>
        <v>4149</v>
      </c>
      <c r="F68" s="258">
        <f>F69+F71</f>
        <v>0</v>
      </c>
    </row>
    <row r="69" spans="1:6" ht="31.5">
      <c r="A69" s="180" t="s">
        <v>909</v>
      </c>
      <c r="B69" s="245" t="s">
        <v>675</v>
      </c>
      <c r="C69" s="245"/>
      <c r="D69" s="230">
        <f>D70</f>
        <v>4363.3999999999996</v>
      </c>
      <c r="E69" s="200">
        <f>E70</f>
        <v>2149</v>
      </c>
      <c r="F69" s="200">
        <f>F70</f>
        <v>0</v>
      </c>
    </row>
    <row r="70" spans="1:6" ht="31.5">
      <c r="A70" s="180" t="s">
        <v>630</v>
      </c>
      <c r="B70" s="245" t="s">
        <v>675</v>
      </c>
      <c r="C70" s="245" t="s">
        <v>477</v>
      </c>
      <c r="D70" s="230">
        <f>прил.4!G300+прил.4!G329</f>
        <v>4363.3999999999996</v>
      </c>
      <c r="E70" s="200">
        <f>прил.4!H318</f>
        <v>2149</v>
      </c>
      <c r="F70" s="200">
        <f>прил.4!I318</f>
        <v>0</v>
      </c>
    </row>
    <row r="71" spans="1:6" ht="47.25">
      <c r="A71" s="180" t="s">
        <v>664</v>
      </c>
      <c r="B71" s="243" t="s">
        <v>645</v>
      </c>
      <c r="C71" s="245"/>
      <c r="D71" s="230">
        <f>D72</f>
        <v>1068.1000000000001</v>
      </c>
      <c r="E71" s="200">
        <f>E72</f>
        <v>2000</v>
      </c>
      <c r="F71" s="200">
        <f>F72</f>
        <v>0</v>
      </c>
    </row>
    <row r="72" spans="1:6" ht="31.5">
      <c r="A72" s="180" t="s">
        <v>630</v>
      </c>
      <c r="B72" s="243" t="s">
        <v>645</v>
      </c>
      <c r="C72" s="245" t="s">
        <v>477</v>
      </c>
      <c r="D72" s="230">
        <f>прил.4!G39+прил.4!G134+прил.4!G320+прил.4!G356+прил.4!G298+прил.4!G224</f>
        <v>1068.1000000000001</v>
      </c>
      <c r="E72" s="200">
        <f>прил.4!H39+прил.4!H134+прил.4!H320+прил.4!H356+прил.4!H298+прил.4!H224</f>
        <v>2000</v>
      </c>
      <c r="F72" s="200">
        <f>прил.4!I39+прил.4!I134+прил.4!I320+прил.4!I356+прил.4!I298+прил.4!I224</f>
        <v>0</v>
      </c>
    </row>
    <row r="73" spans="1:6" ht="63">
      <c r="A73" s="249" t="s">
        <v>948</v>
      </c>
      <c r="B73" s="250" t="s">
        <v>558</v>
      </c>
      <c r="C73" s="312"/>
      <c r="D73" s="258">
        <f>D74+D79+D82+D84+D91+D93+D96+D101</f>
        <v>433461.49999999994</v>
      </c>
      <c r="E73" s="258">
        <f>E74+E79+E82+E84+E91+E93+E96+E101</f>
        <v>224460.5</v>
      </c>
      <c r="F73" s="258">
        <f>F74+F79+F82+F84+F91+F93+F96+F101</f>
        <v>156387.70000000001</v>
      </c>
    </row>
    <row r="74" spans="1:6" ht="78.75">
      <c r="A74" s="249" t="s">
        <v>1130</v>
      </c>
      <c r="B74" s="250" t="s">
        <v>1131</v>
      </c>
      <c r="C74" s="312"/>
      <c r="D74" s="258">
        <f>D75+D77</f>
        <v>18691.099999999999</v>
      </c>
      <c r="E74" s="258">
        <f>E75+E77</f>
        <v>904.3</v>
      </c>
      <c r="F74" s="258">
        <f>F75+F77</f>
        <v>36</v>
      </c>
    </row>
    <row r="75" spans="1:6" ht="66" customHeight="1">
      <c r="A75" s="180" t="s">
        <v>904</v>
      </c>
      <c r="B75" s="245" t="s">
        <v>899</v>
      </c>
      <c r="C75" s="245"/>
      <c r="D75" s="230">
        <f>D76</f>
        <v>0</v>
      </c>
      <c r="E75" s="200">
        <f>E76</f>
        <v>270.8</v>
      </c>
      <c r="F75" s="200">
        <f>F76</f>
        <v>36</v>
      </c>
    </row>
    <row r="76" spans="1:6" ht="31.5">
      <c r="A76" s="180" t="s">
        <v>1043</v>
      </c>
      <c r="B76" s="245" t="s">
        <v>899</v>
      </c>
      <c r="C76" s="245" t="s">
        <v>481</v>
      </c>
      <c r="D76" s="230">
        <f>прил.4!G77</f>
        <v>0</v>
      </c>
      <c r="E76" s="200">
        <f>прил.4!H77</f>
        <v>270.8</v>
      </c>
      <c r="F76" s="200">
        <f>прил.4!I77</f>
        <v>36</v>
      </c>
    </row>
    <row r="77" spans="1:6" ht="31.5">
      <c r="A77" s="180" t="s">
        <v>638</v>
      </c>
      <c r="B77" s="245" t="s">
        <v>637</v>
      </c>
      <c r="C77" s="245"/>
      <c r="D77" s="230">
        <f>SUM(D78:D78)</f>
        <v>18691.099999999999</v>
      </c>
      <c r="E77" s="200">
        <f>SUM(E78:E78)</f>
        <v>633.5</v>
      </c>
      <c r="F77" s="200">
        <f>SUM(F78:F78)</f>
        <v>0</v>
      </c>
    </row>
    <row r="78" spans="1:6" ht="31.5">
      <c r="A78" s="180" t="s">
        <v>1043</v>
      </c>
      <c r="B78" s="245" t="s">
        <v>637</v>
      </c>
      <c r="C78" s="245" t="s">
        <v>481</v>
      </c>
      <c r="D78" s="230">
        <f>прил.4!G79</f>
        <v>18691.099999999999</v>
      </c>
      <c r="E78" s="200">
        <f>прил.4!H79</f>
        <v>633.5</v>
      </c>
      <c r="F78" s="200">
        <f>прил.4!I79</f>
        <v>0</v>
      </c>
    </row>
    <row r="79" spans="1:6" s="194" customFormat="1" ht="111" customHeight="1">
      <c r="A79" s="249" t="s">
        <v>1134</v>
      </c>
      <c r="B79" s="248" t="s">
        <v>1133</v>
      </c>
      <c r="C79" s="248"/>
      <c r="D79" s="181">
        <f t="shared" ref="D79:F80" si="1">D80</f>
        <v>122324.4</v>
      </c>
      <c r="E79" s="181">
        <f t="shared" si="1"/>
        <v>50000</v>
      </c>
      <c r="F79" s="181">
        <f t="shared" si="1"/>
        <v>0</v>
      </c>
    </row>
    <row r="80" spans="1:6" ht="78.75">
      <c r="A80" s="180" t="s">
        <v>653</v>
      </c>
      <c r="B80" s="245" t="s">
        <v>626</v>
      </c>
      <c r="C80" s="245"/>
      <c r="D80" s="230">
        <f t="shared" si="1"/>
        <v>122324.4</v>
      </c>
      <c r="E80" s="200">
        <f t="shared" si="1"/>
        <v>50000</v>
      </c>
      <c r="F80" s="200">
        <f t="shared" si="1"/>
        <v>0</v>
      </c>
    </row>
    <row r="81" spans="1:6" ht="31.5">
      <c r="A81" s="180" t="s">
        <v>1043</v>
      </c>
      <c r="B81" s="245" t="s">
        <v>626</v>
      </c>
      <c r="C81" s="245" t="s">
        <v>481</v>
      </c>
      <c r="D81" s="230">
        <f>прил.4!G156</f>
        <v>122324.4</v>
      </c>
      <c r="E81" s="200">
        <f>прил.4!H156</f>
        <v>50000</v>
      </c>
      <c r="F81" s="200">
        <v>0</v>
      </c>
    </row>
    <row r="82" spans="1:6" ht="81.75" customHeight="1">
      <c r="A82" s="249" t="s">
        <v>916</v>
      </c>
      <c r="B82" s="248" t="s">
        <v>864</v>
      </c>
      <c r="C82" s="312"/>
      <c r="D82" s="258">
        <f>D83</f>
        <v>15734.4</v>
      </c>
      <c r="E82" s="258">
        <f>E83</f>
        <v>5500</v>
      </c>
      <c r="F82" s="258">
        <f>F83</f>
        <v>5500</v>
      </c>
    </row>
    <row r="83" spans="1:6">
      <c r="A83" s="180" t="s">
        <v>479</v>
      </c>
      <c r="B83" s="245" t="s">
        <v>864</v>
      </c>
      <c r="C83" s="311">
        <v>300</v>
      </c>
      <c r="D83" s="200">
        <f>прил.4!G100</f>
        <v>15734.4</v>
      </c>
      <c r="E83" s="200">
        <f>прил.4!H100</f>
        <v>5500</v>
      </c>
      <c r="F83" s="200">
        <f>прил.4!I100</f>
        <v>5500</v>
      </c>
    </row>
    <row r="84" spans="1:6" ht="78.75">
      <c r="A84" s="249" t="s">
        <v>954</v>
      </c>
      <c r="B84" s="250" t="s">
        <v>1132</v>
      </c>
      <c r="C84" s="312"/>
      <c r="D84" s="258">
        <f>D85+D87+D89</f>
        <v>14722.2</v>
      </c>
      <c r="E84" s="258">
        <f>E85+E87+E89</f>
        <v>31643.699999999997</v>
      </c>
      <c r="F84" s="258">
        <f>F85+F87+F89</f>
        <v>61103.199999999997</v>
      </c>
    </row>
    <row r="85" spans="1:6" ht="94.5">
      <c r="A85" s="180" t="s">
        <v>939</v>
      </c>
      <c r="B85" s="243" t="s">
        <v>510</v>
      </c>
      <c r="C85" s="311"/>
      <c r="D85" s="200">
        <f>D86</f>
        <v>3185.3</v>
      </c>
      <c r="E85" s="200">
        <f>E86</f>
        <v>3549.1</v>
      </c>
      <c r="F85" s="200">
        <f>F86</f>
        <v>3549.1</v>
      </c>
    </row>
    <row r="86" spans="1:6" ht="31.5">
      <c r="A86" s="180" t="s">
        <v>630</v>
      </c>
      <c r="B86" s="243" t="s">
        <v>510</v>
      </c>
      <c r="C86" s="311">
        <v>200</v>
      </c>
      <c r="D86" s="200">
        <f>прил.4!G152+прил.4!G275</f>
        <v>3185.3</v>
      </c>
      <c r="E86" s="200">
        <f>прил.4!H152+прил.4!H275</f>
        <v>3549.1</v>
      </c>
      <c r="F86" s="200">
        <f>прил.4!I152+прил.4!I275</f>
        <v>3549.1</v>
      </c>
    </row>
    <row r="87" spans="1:6" ht="79.5" customHeight="1">
      <c r="A87" s="180" t="s">
        <v>925</v>
      </c>
      <c r="B87" s="243" t="s">
        <v>511</v>
      </c>
      <c r="C87" s="311"/>
      <c r="D87" s="200">
        <f>D88</f>
        <v>11536.9</v>
      </c>
      <c r="E87" s="200">
        <f>E88</f>
        <v>6000</v>
      </c>
      <c r="F87" s="200">
        <f>F88</f>
        <v>6000</v>
      </c>
    </row>
    <row r="88" spans="1:6" ht="31.5">
      <c r="A88" s="180" t="s">
        <v>630</v>
      </c>
      <c r="B88" s="243" t="s">
        <v>511</v>
      </c>
      <c r="C88" s="311">
        <v>200</v>
      </c>
      <c r="D88" s="200">
        <f>прил.4!G154</f>
        <v>11536.9</v>
      </c>
      <c r="E88" s="200">
        <f>прил.4!H154</f>
        <v>6000</v>
      </c>
      <c r="F88" s="200">
        <f>прил.4!I154</f>
        <v>6000</v>
      </c>
    </row>
    <row r="89" spans="1:6" ht="47.25">
      <c r="A89" s="180" t="s">
        <v>1128</v>
      </c>
      <c r="B89" s="245" t="s">
        <v>1129</v>
      </c>
      <c r="C89" s="248"/>
      <c r="D89" s="230">
        <f>D90</f>
        <v>0</v>
      </c>
      <c r="E89" s="230">
        <f>E90</f>
        <v>22094.6</v>
      </c>
      <c r="F89" s="230">
        <f>F90</f>
        <v>51554.1</v>
      </c>
    </row>
    <row r="90" spans="1:6" ht="31.5">
      <c r="A90" s="180" t="s">
        <v>1043</v>
      </c>
      <c r="B90" s="245" t="s">
        <v>1129</v>
      </c>
      <c r="C90" s="245" t="s">
        <v>481</v>
      </c>
      <c r="D90" s="230">
        <f>прил.4!G158</f>
        <v>0</v>
      </c>
      <c r="E90" s="230">
        <f>прил.4!H158</f>
        <v>22094.6</v>
      </c>
      <c r="F90" s="230">
        <f>прил.4!I158</f>
        <v>51554.1</v>
      </c>
    </row>
    <row r="91" spans="1:6" s="129" customFormat="1" ht="94.5">
      <c r="A91" s="249" t="s">
        <v>1136</v>
      </c>
      <c r="B91" s="250" t="s">
        <v>866</v>
      </c>
      <c r="C91" s="248"/>
      <c r="D91" s="181">
        <f>D92</f>
        <v>81815.399999999994</v>
      </c>
      <c r="E91" s="181">
        <f>E92</f>
        <v>2000</v>
      </c>
      <c r="F91" s="181">
        <f>F92</f>
        <v>2000</v>
      </c>
    </row>
    <row r="92" spans="1:6" s="129" customFormat="1" ht="31.5">
      <c r="A92" s="180" t="s">
        <v>630</v>
      </c>
      <c r="B92" s="243" t="s">
        <v>865</v>
      </c>
      <c r="C92" s="245" t="s">
        <v>477</v>
      </c>
      <c r="D92" s="230">
        <f>прил.4!G137+прил.4!G168</f>
        <v>81815.399999999994</v>
      </c>
      <c r="E92" s="230">
        <f>прил.4!H137+прил.4!H168</f>
        <v>2000</v>
      </c>
      <c r="F92" s="230">
        <f>прил.4!I137+прил.4!I168</f>
        <v>2000</v>
      </c>
    </row>
    <row r="93" spans="1:6" ht="110.25">
      <c r="A93" s="249" t="s">
        <v>1135</v>
      </c>
      <c r="B93" s="250" t="s">
        <v>512</v>
      </c>
      <c r="C93" s="312"/>
      <c r="D93" s="258">
        <f>D94+D95</f>
        <v>91274.1</v>
      </c>
      <c r="E93" s="258">
        <f>E94+E95</f>
        <v>26664</v>
      </c>
      <c r="F93" s="258">
        <f>F94+F95</f>
        <v>0</v>
      </c>
    </row>
    <row r="94" spans="1:6" ht="31.5">
      <c r="A94" s="180" t="s">
        <v>630</v>
      </c>
      <c r="B94" s="243" t="s">
        <v>512</v>
      </c>
      <c r="C94" s="311">
        <v>200</v>
      </c>
      <c r="D94" s="200">
        <f>прил.4!G161</f>
        <v>40361</v>
      </c>
      <c r="E94" s="200">
        <f>прил.4!H161</f>
        <v>26664</v>
      </c>
      <c r="F94" s="200">
        <f>прил.4!I161</f>
        <v>0</v>
      </c>
    </row>
    <row r="95" spans="1:6" s="129" customFormat="1" ht="31.5">
      <c r="A95" s="180" t="s">
        <v>1043</v>
      </c>
      <c r="B95" s="245" t="s">
        <v>512</v>
      </c>
      <c r="C95" s="245" t="s">
        <v>481</v>
      </c>
      <c r="D95" s="230">
        <f>прил.4!G82+прил.4!G162+прил.4!G277+прил.4!G280</f>
        <v>50913.1</v>
      </c>
      <c r="E95" s="230">
        <f>прил.4!H162+прил.4!H280+прил.4!H82</f>
        <v>0</v>
      </c>
      <c r="F95" s="230">
        <f>прил.4!I162+прил.4!I280+прил.4!I82</f>
        <v>0</v>
      </c>
    </row>
    <row r="96" spans="1:6" ht="78.75">
      <c r="A96" s="249" t="s">
        <v>955</v>
      </c>
      <c r="B96" s="250" t="s">
        <v>559</v>
      </c>
      <c r="C96" s="312"/>
      <c r="D96" s="258">
        <f>D97</f>
        <v>36602.800000000003</v>
      </c>
      <c r="E96" s="258">
        <f>E97</f>
        <v>32145</v>
      </c>
      <c r="F96" s="258">
        <f>F97</f>
        <v>32145</v>
      </c>
    </row>
    <row r="97" spans="1:6" ht="94.5">
      <c r="A97" s="180" t="s">
        <v>931</v>
      </c>
      <c r="B97" s="243" t="s">
        <v>560</v>
      </c>
      <c r="C97" s="311"/>
      <c r="D97" s="200">
        <f>SUM(D98:D100)</f>
        <v>36602.800000000003</v>
      </c>
      <c r="E97" s="200">
        <f>SUM(E98:E100)</f>
        <v>32145</v>
      </c>
      <c r="F97" s="200">
        <f>SUM(F98:F100)</f>
        <v>32145</v>
      </c>
    </row>
    <row r="98" spans="1:6" ht="63">
      <c r="A98" s="180" t="s">
        <v>482</v>
      </c>
      <c r="B98" s="243" t="s">
        <v>560</v>
      </c>
      <c r="C98" s="311">
        <v>100</v>
      </c>
      <c r="D98" s="200">
        <f>прил.4!G180</f>
        <v>27030.2</v>
      </c>
      <c r="E98" s="200">
        <f>прил.4!H180</f>
        <v>27257.9</v>
      </c>
      <c r="F98" s="200">
        <f>прил.4!I180</f>
        <v>27257.9</v>
      </c>
    </row>
    <row r="99" spans="1:6" ht="31.5">
      <c r="A99" s="180" t="s">
        <v>630</v>
      </c>
      <c r="B99" s="243" t="s">
        <v>560</v>
      </c>
      <c r="C99" s="311">
        <v>200</v>
      </c>
      <c r="D99" s="200">
        <f>прил.4!G181</f>
        <v>4551.6000000000004</v>
      </c>
      <c r="E99" s="200">
        <f>прил.4!H181</f>
        <v>4095</v>
      </c>
      <c r="F99" s="200">
        <f>прил.4!I181</f>
        <v>4095</v>
      </c>
    </row>
    <row r="100" spans="1:6">
      <c r="A100" s="180" t="s">
        <v>470</v>
      </c>
      <c r="B100" s="243" t="s">
        <v>560</v>
      </c>
      <c r="C100" s="311">
        <v>800</v>
      </c>
      <c r="D100" s="200">
        <f>прил.4!G182</f>
        <v>5021</v>
      </c>
      <c r="E100" s="200">
        <f>прил.4!H182</f>
        <v>792.1</v>
      </c>
      <c r="F100" s="200">
        <f>прил.4!I182</f>
        <v>792.1</v>
      </c>
    </row>
    <row r="101" spans="1:6" ht="78.75">
      <c r="A101" s="249" t="s">
        <v>956</v>
      </c>
      <c r="B101" s="250" t="s">
        <v>561</v>
      </c>
      <c r="C101" s="312"/>
      <c r="D101" s="258">
        <f>D102+D104+D106+D109</f>
        <v>52297.1</v>
      </c>
      <c r="E101" s="258">
        <f>E102+E104+E106+E109</f>
        <v>75603.5</v>
      </c>
      <c r="F101" s="258">
        <f>F102+F104+F106+F109</f>
        <v>55603.5</v>
      </c>
    </row>
    <row r="102" spans="1:6" ht="78.75">
      <c r="A102" s="180" t="s">
        <v>923</v>
      </c>
      <c r="B102" s="245" t="s">
        <v>513</v>
      </c>
      <c r="C102" s="245"/>
      <c r="D102" s="230">
        <f>D103</f>
        <v>7545.8</v>
      </c>
      <c r="E102" s="200">
        <f>E103</f>
        <v>4626.5</v>
      </c>
      <c r="F102" s="200">
        <f>F103</f>
        <v>4626.5</v>
      </c>
    </row>
    <row r="103" spans="1:6" ht="31.5">
      <c r="A103" s="180" t="s">
        <v>630</v>
      </c>
      <c r="B103" s="245" t="s">
        <v>513</v>
      </c>
      <c r="C103" s="245" t="s">
        <v>477</v>
      </c>
      <c r="D103" s="230">
        <f>прил.4!G170+прил.4!G85</f>
        <v>7545.8</v>
      </c>
      <c r="E103" s="200">
        <f>прил.4!H170+прил.4!H85</f>
        <v>4626.5</v>
      </c>
      <c r="F103" s="200">
        <f>прил.4!I170+прил.4!I85</f>
        <v>4626.5</v>
      </c>
    </row>
    <row r="104" spans="1:6" ht="78.75">
      <c r="A104" s="180" t="s">
        <v>928</v>
      </c>
      <c r="B104" s="245" t="s">
        <v>514</v>
      </c>
      <c r="C104" s="245"/>
      <c r="D104" s="230">
        <f>D105</f>
        <v>20497.7</v>
      </c>
      <c r="E104" s="200">
        <f>E105</f>
        <v>13690</v>
      </c>
      <c r="F104" s="200">
        <f>F105</f>
        <v>13690</v>
      </c>
    </row>
    <row r="105" spans="1:6" ht="31.5">
      <c r="A105" s="180" t="s">
        <v>630</v>
      </c>
      <c r="B105" s="245" t="s">
        <v>514</v>
      </c>
      <c r="C105" s="245" t="s">
        <v>477</v>
      </c>
      <c r="D105" s="230">
        <f>прил.4!G172</f>
        <v>20497.7</v>
      </c>
      <c r="E105" s="200">
        <f>прил.4!H172</f>
        <v>13690</v>
      </c>
      <c r="F105" s="200">
        <f>прил.4!I172</f>
        <v>13690</v>
      </c>
    </row>
    <row r="106" spans="1:6" ht="78.75">
      <c r="A106" s="180" t="s">
        <v>929</v>
      </c>
      <c r="B106" s="245" t="s">
        <v>515</v>
      </c>
      <c r="C106" s="245"/>
      <c r="D106" s="230">
        <f>D107+D108</f>
        <v>3870</v>
      </c>
      <c r="E106" s="200">
        <f>E107+E108</f>
        <v>6000</v>
      </c>
      <c r="F106" s="200">
        <f>F107+F108</f>
        <v>6000</v>
      </c>
    </row>
    <row r="107" spans="1:6" ht="31.5">
      <c r="A107" s="180" t="s">
        <v>630</v>
      </c>
      <c r="B107" s="245" t="s">
        <v>515</v>
      </c>
      <c r="C107" s="245" t="s">
        <v>477</v>
      </c>
      <c r="D107" s="230">
        <f>прил.4!G174</f>
        <v>670</v>
      </c>
      <c r="E107" s="200">
        <f>прил.4!H174</f>
        <v>0</v>
      </c>
      <c r="F107" s="200">
        <f>прил.4!I174</f>
        <v>0</v>
      </c>
    </row>
    <row r="108" spans="1:6" ht="31.5">
      <c r="A108" s="180" t="s">
        <v>485</v>
      </c>
      <c r="B108" s="245" t="s">
        <v>515</v>
      </c>
      <c r="C108" s="245" t="s">
        <v>484</v>
      </c>
      <c r="D108" s="230">
        <f>прил.4!G175</f>
        <v>3200</v>
      </c>
      <c r="E108" s="200">
        <f>прил.4!H175</f>
        <v>6000</v>
      </c>
      <c r="F108" s="200">
        <f>прил.4!I175</f>
        <v>6000</v>
      </c>
    </row>
    <row r="109" spans="1:6" s="163" customFormat="1" ht="81.75" customHeight="1">
      <c r="A109" s="180" t="s">
        <v>930</v>
      </c>
      <c r="B109" s="245" t="s">
        <v>516</v>
      </c>
      <c r="C109" s="245"/>
      <c r="D109" s="230">
        <f>D110</f>
        <v>20383.599999999999</v>
      </c>
      <c r="E109" s="230">
        <f>E110</f>
        <v>51287</v>
      </c>
      <c r="F109" s="230">
        <f>F110</f>
        <v>31287</v>
      </c>
    </row>
    <row r="110" spans="1:6" ht="31.5">
      <c r="A110" s="180" t="s">
        <v>630</v>
      </c>
      <c r="B110" s="245" t="s">
        <v>516</v>
      </c>
      <c r="C110" s="245" t="s">
        <v>477</v>
      </c>
      <c r="D110" s="230">
        <f>прил.4!G177</f>
        <v>20383.599999999999</v>
      </c>
      <c r="E110" s="200">
        <f>прил.4!H177</f>
        <v>51287</v>
      </c>
      <c r="F110" s="200">
        <f>прил.4!I177</f>
        <v>31287</v>
      </c>
    </row>
    <row r="111" spans="1:6" ht="63">
      <c r="A111" s="249" t="s">
        <v>959</v>
      </c>
      <c r="B111" s="250" t="s">
        <v>562</v>
      </c>
      <c r="C111" s="312"/>
      <c r="D111" s="258">
        <f>D112+D117+D120</f>
        <v>19792.900000000001</v>
      </c>
      <c r="E111" s="258">
        <f>E112+E117+E120</f>
        <v>21494.9</v>
      </c>
      <c r="F111" s="258">
        <f>F112+F117+F120</f>
        <v>21494.9</v>
      </c>
    </row>
    <row r="112" spans="1:6" ht="110.25">
      <c r="A112" s="180" t="s">
        <v>957</v>
      </c>
      <c r="B112" s="243" t="s">
        <v>563</v>
      </c>
      <c r="C112" s="311"/>
      <c r="D112" s="200">
        <f>D113</f>
        <v>17848.7</v>
      </c>
      <c r="E112" s="200">
        <f>E113</f>
        <v>19520</v>
      </c>
      <c r="F112" s="200">
        <f>F113</f>
        <v>19520</v>
      </c>
    </row>
    <row r="113" spans="1:6" ht="141.75">
      <c r="A113" s="180" t="s">
        <v>918</v>
      </c>
      <c r="B113" s="243" t="s">
        <v>505</v>
      </c>
      <c r="C113" s="311"/>
      <c r="D113" s="200">
        <f>D114+D115+D116</f>
        <v>17848.7</v>
      </c>
      <c r="E113" s="200">
        <f>E114+E115+E116</f>
        <v>19520</v>
      </c>
      <c r="F113" s="200">
        <f>F114+F115+F116</f>
        <v>19520</v>
      </c>
    </row>
    <row r="114" spans="1:6" ht="63">
      <c r="A114" s="180" t="s">
        <v>482</v>
      </c>
      <c r="B114" s="243" t="s">
        <v>505</v>
      </c>
      <c r="C114" s="311">
        <v>100</v>
      </c>
      <c r="D114" s="200">
        <f>прил.4!G57</f>
        <v>16117.1</v>
      </c>
      <c r="E114" s="200">
        <f>прил.4!H57</f>
        <v>16852.2</v>
      </c>
      <c r="F114" s="200">
        <f>прил.4!I57</f>
        <v>16852.2</v>
      </c>
    </row>
    <row r="115" spans="1:6" ht="31.5">
      <c r="A115" s="180" t="s">
        <v>630</v>
      </c>
      <c r="B115" s="243" t="s">
        <v>505</v>
      </c>
      <c r="C115" s="311">
        <v>200</v>
      </c>
      <c r="D115" s="200">
        <f>прил.4!G58</f>
        <v>1679.3</v>
      </c>
      <c r="E115" s="200">
        <f>прил.4!H58</f>
        <v>2635.3</v>
      </c>
      <c r="F115" s="200">
        <f>прил.4!I58</f>
        <v>2635.3</v>
      </c>
    </row>
    <row r="116" spans="1:6">
      <c r="A116" s="180" t="s">
        <v>470</v>
      </c>
      <c r="B116" s="243" t="s">
        <v>505</v>
      </c>
      <c r="C116" s="311">
        <v>800</v>
      </c>
      <c r="D116" s="200">
        <f>прил.4!G59</f>
        <v>52.3</v>
      </c>
      <c r="E116" s="200">
        <f>прил.4!H59</f>
        <v>32.5</v>
      </c>
      <c r="F116" s="200">
        <f>прил.4!I59</f>
        <v>32.5</v>
      </c>
    </row>
    <row r="117" spans="1:6" ht="78.75">
      <c r="A117" s="180" t="s">
        <v>958</v>
      </c>
      <c r="B117" s="243" t="s">
        <v>564</v>
      </c>
      <c r="C117" s="311"/>
      <c r="D117" s="200">
        <f t="shared" ref="D117:F118" si="2">D118</f>
        <v>100</v>
      </c>
      <c r="E117" s="200">
        <f t="shared" si="2"/>
        <v>100</v>
      </c>
      <c r="F117" s="200">
        <f t="shared" si="2"/>
        <v>100</v>
      </c>
    </row>
    <row r="118" spans="1:6" ht="94.5">
      <c r="A118" s="180" t="s">
        <v>947</v>
      </c>
      <c r="B118" s="243" t="s">
        <v>506</v>
      </c>
      <c r="C118" s="311"/>
      <c r="D118" s="200">
        <f t="shared" si="2"/>
        <v>100</v>
      </c>
      <c r="E118" s="200">
        <f t="shared" si="2"/>
        <v>100</v>
      </c>
      <c r="F118" s="200">
        <f t="shared" si="2"/>
        <v>100</v>
      </c>
    </row>
    <row r="119" spans="1:6" ht="31.5">
      <c r="A119" s="180" t="s">
        <v>630</v>
      </c>
      <c r="B119" s="243" t="s">
        <v>506</v>
      </c>
      <c r="C119" s="311">
        <v>200</v>
      </c>
      <c r="D119" s="200">
        <f>прил.4!G65</f>
        <v>100</v>
      </c>
      <c r="E119" s="200">
        <f>прил.4!H65</f>
        <v>100</v>
      </c>
      <c r="F119" s="200">
        <f>прил.4!I65</f>
        <v>100</v>
      </c>
    </row>
    <row r="120" spans="1:6" ht="47.25">
      <c r="A120" s="249" t="s">
        <v>671</v>
      </c>
      <c r="B120" s="195" t="s">
        <v>654</v>
      </c>
      <c r="C120" s="312"/>
      <c r="D120" s="258">
        <f t="shared" ref="D120:F121" si="3">D121</f>
        <v>1844.2</v>
      </c>
      <c r="E120" s="258">
        <f t="shared" si="3"/>
        <v>1874.9</v>
      </c>
      <c r="F120" s="258">
        <f t="shared" si="3"/>
        <v>1874.9</v>
      </c>
    </row>
    <row r="121" spans="1:6" ht="47.25">
      <c r="A121" s="180" t="s">
        <v>671</v>
      </c>
      <c r="B121" s="183" t="s">
        <v>654</v>
      </c>
      <c r="C121" s="245"/>
      <c r="D121" s="230">
        <f t="shared" si="3"/>
        <v>1844.2</v>
      </c>
      <c r="E121" s="200">
        <f t="shared" si="3"/>
        <v>1874.9</v>
      </c>
      <c r="F121" s="200">
        <f t="shared" si="3"/>
        <v>1874.9</v>
      </c>
    </row>
    <row r="122" spans="1:6" ht="31.5">
      <c r="A122" s="180" t="s">
        <v>630</v>
      </c>
      <c r="B122" s="183" t="s">
        <v>654</v>
      </c>
      <c r="C122" s="245" t="s">
        <v>477</v>
      </c>
      <c r="D122" s="230">
        <f>прил.5!F99</f>
        <v>1844.2</v>
      </c>
      <c r="E122" s="200">
        <f>прил.5!G99</f>
        <v>1874.9</v>
      </c>
      <c r="F122" s="200">
        <f>прил.5!H99</f>
        <v>1874.9</v>
      </c>
    </row>
    <row r="123" spans="1:6" ht="31.5">
      <c r="A123" s="249" t="s">
        <v>910</v>
      </c>
      <c r="B123" s="250" t="s">
        <v>565</v>
      </c>
      <c r="C123" s="312"/>
      <c r="D123" s="258">
        <f>D124+D133+D143</f>
        <v>156884</v>
      </c>
      <c r="E123" s="258">
        <f>E124+E133+E143</f>
        <v>136053.70000000001</v>
      </c>
      <c r="F123" s="258">
        <f>F124+F133+F143</f>
        <v>139539.6</v>
      </c>
    </row>
    <row r="124" spans="1:6" ht="35.25" customHeight="1">
      <c r="A124" s="180" t="s">
        <v>960</v>
      </c>
      <c r="B124" s="243" t="s">
        <v>566</v>
      </c>
      <c r="C124" s="311"/>
      <c r="D124" s="200">
        <f>D125+D130</f>
        <v>103789.7</v>
      </c>
      <c r="E124" s="200">
        <f>E125+E130</f>
        <v>67767.8</v>
      </c>
      <c r="F124" s="200">
        <f>F125+F130</f>
        <v>30493.4</v>
      </c>
    </row>
    <row r="125" spans="1:6" ht="63">
      <c r="A125" s="180" t="s">
        <v>934</v>
      </c>
      <c r="B125" s="245" t="s">
        <v>530</v>
      </c>
      <c r="C125" s="245"/>
      <c r="D125" s="230">
        <f>SUM(D126:D129)</f>
        <v>83258.3</v>
      </c>
      <c r="E125" s="200">
        <f>SUM(E126:E129)</f>
        <v>46322.1</v>
      </c>
      <c r="F125" s="200">
        <f>SUM(F126:F129)</f>
        <v>9047.6999999999989</v>
      </c>
    </row>
    <row r="126" spans="1:6" ht="63">
      <c r="A126" s="180" t="s">
        <v>482</v>
      </c>
      <c r="B126" s="245" t="s">
        <v>530</v>
      </c>
      <c r="C126" s="245" t="s">
        <v>483</v>
      </c>
      <c r="D126" s="230">
        <f>прил.4!G226</f>
        <v>9227.7999999999993</v>
      </c>
      <c r="E126" s="200">
        <f>прил.4!H226</f>
        <v>4546.8999999999996</v>
      </c>
      <c r="F126" s="200">
        <f>прил.4!I226</f>
        <v>4546.8999999999996</v>
      </c>
    </row>
    <row r="127" spans="1:6" ht="31.5">
      <c r="A127" s="180" t="s">
        <v>630</v>
      </c>
      <c r="B127" s="245" t="s">
        <v>530</v>
      </c>
      <c r="C127" s="245" t="s">
        <v>477</v>
      </c>
      <c r="D127" s="230">
        <f>прил.4!G227</f>
        <v>8752.9</v>
      </c>
      <c r="E127" s="200">
        <f>прил.4!H227</f>
        <v>4227.3</v>
      </c>
      <c r="F127" s="200">
        <f>прил.4!I227</f>
        <v>2227.3000000000002</v>
      </c>
    </row>
    <row r="128" spans="1:6" ht="31.5">
      <c r="A128" s="180" t="s">
        <v>485</v>
      </c>
      <c r="B128" s="245" t="s">
        <v>530</v>
      </c>
      <c r="C128" s="245" t="s">
        <v>484</v>
      </c>
      <c r="D128" s="230">
        <f>прил.4!G228</f>
        <v>64512.4</v>
      </c>
      <c r="E128" s="200">
        <f>прил.4!H228</f>
        <v>37250</v>
      </c>
      <c r="F128" s="200">
        <f>прил.4!I228</f>
        <v>1975.5999999999985</v>
      </c>
    </row>
    <row r="129" spans="1:6">
      <c r="A129" s="180" t="s">
        <v>470</v>
      </c>
      <c r="B129" s="245" t="s">
        <v>530</v>
      </c>
      <c r="C129" s="245" t="s">
        <v>471</v>
      </c>
      <c r="D129" s="230">
        <f>прил.4!G229</f>
        <v>765.2</v>
      </c>
      <c r="E129" s="200">
        <f>прил.4!H229</f>
        <v>297.89999999999998</v>
      </c>
      <c r="F129" s="200">
        <f>прил.4!I229</f>
        <v>297.89999999999998</v>
      </c>
    </row>
    <row r="130" spans="1:6" ht="50.25" customHeight="1">
      <c r="A130" s="180" t="s">
        <v>912</v>
      </c>
      <c r="B130" s="245" t="s">
        <v>531</v>
      </c>
      <c r="C130" s="245"/>
      <c r="D130" s="230">
        <f>SUM(D131:D132)</f>
        <v>20531.399999999998</v>
      </c>
      <c r="E130" s="200">
        <f>SUM(E131:E132)</f>
        <v>21445.7</v>
      </c>
      <c r="F130" s="200">
        <f>SUM(F131:F132)</f>
        <v>21445.7</v>
      </c>
    </row>
    <row r="131" spans="1:6" ht="63">
      <c r="A131" s="180" t="s">
        <v>482</v>
      </c>
      <c r="B131" s="245" t="s">
        <v>531</v>
      </c>
      <c r="C131" s="245" t="s">
        <v>483</v>
      </c>
      <c r="D131" s="230">
        <f>прил.4!G231</f>
        <v>17423.099999999999</v>
      </c>
      <c r="E131" s="200">
        <f>прил.4!H231</f>
        <v>18896.5</v>
      </c>
      <c r="F131" s="200">
        <f>прил.4!I231</f>
        <v>18896.5</v>
      </c>
    </row>
    <row r="132" spans="1:6" ht="31.5">
      <c r="A132" s="180" t="s">
        <v>630</v>
      </c>
      <c r="B132" s="245" t="s">
        <v>531</v>
      </c>
      <c r="C132" s="245" t="s">
        <v>477</v>
      </c>
      <c r="D132" s="230">
        <f>прил.4!G232</f>
        <v>3108.3</v>
      </c>
      <c r="E132" s="200">
        <f>прил.4!H232</f>
        <v>2549.1999999999998</v>
      </c>
      <c r="F132" s="200">
        <f>прил.4!I232</f>
        <v>2549.1999999999998</v>
      </c>
    </row>
    <row r="133" spans="1:6" ht="47.25">
      <c r="A133" s="249" t="s">
        <v>911</v>
      </c>
      <c r="B133" s="250" t="s">
        <v>567</v>
      </c>
      <c r="C133" s="312"/>
      <c r="D133" s="258">
        <f>D134+D140+D138</f>
        <v>46713.7</v>
      </c>
      <c r="E133" s="258">
        <f>E134+E140+E138</f>
        <v>62483.899999999994</v>
      </c>
      <c r="F133" s="258">
        <f>F134+F140+F138</f>
        <v>103244.2</v>
      </c>
    </row>
    <row r="134" spans="1:6" ht="63">
      <c r="A134" s="180" t="s">
        <v>913</v>
      </c>
      <c r="B134" s="243" t="s">
        <v>532</v>
      </c>
      <c r="C134" s="311"/>
      <c r="D134" s="200">
        <f>SUM(D135:D137)</f>
        <v>32736.5</v>
      </c>
      <c r="E134" s="200">
        <f>SUM(E135:E137)</f>
        <v>39229.299999999996</v>
      </c>
      <c r="F134" s="200">
        <f>SUM(F135:F137)</f>
        <v>39239.199999999997</v>
      </c>
    </row>
    <row r="135" spans="1:6" ht="63">
      <c r="A135" s="180" t="s">
        <v>482</v>
      </c>
      <c r="B135" s="243" t="s">
        <v>532</v>
      </c>
      <c r="C135" s="311">
        <v>100</v>
      </c>
      <c r="D135" s="200">
        <f>прил.4!G234+прил.4!G89</f>
        <v>25603.599999999999</v>
      </c>
      <c r="E135" s="200">
        <f>прил.4!H234+прил.4!H89</f>
        <v>33262.299999999996</v>
      </c>
      <c r="F135" s="200">
        <f>прил.4!I234+прил.4!I89</f>
        <v>33262.299999999996</v>
      </c>
    </row>
    <row r="136" spans="1:6" ht="31.5">
      <c r="A136" s="180" t="s">
        <v>630</v>
      </c>
      <c r="B136" s="243" t="s">
        <v>532</v>
      </c>
      <c r="C136" s="311">
        <v>200</v>
      </c>
      <c r="D136" s="200">
        <f>прил.4!G235+прил.4!G90</f>
        <v>5287.9000000000005</v>
      </c>
      <c r="E136" s="200">
        <f>прил.4!H235+прил.4!H90</f>
        <v>3841.4999999999995</v>
      </c>
      <c r="F136" s="200">
        <f>прил.4!I235+прил.4!I90</f>
        <v>3851.3999999999996</v>
      </c>
    </row>
    <row r="137" spans="1:6">
      <c r="A137" s="180" t="s">
        <v>470</v>
      </c>
      <c r="B137" s="243" t="s">
        <v>532</v>
      </c>
      <c r="C137" s="311">
        <v>800</v>
      </c>
      <c r="D137" s="200">
        <f>прил.4!G236</f>
        <v>1845</v>
      </c>
      <c r="E137" s="200">
        <f>прил.4!H236</f>
        <v>2125.5</v>
      </c>
      <c r="F137" s="200">
        <f>прил.4!I236</f>
        <v>2125.5</v>
      </c>
    </row>
    <row r="138" spans="1:6" ht="47.25">
      <c r="A138" s="180" t="s">
        <v>903</v>
      </c>
      <c r="B138" s="245" t="s">
        <v>902</v>
      </c>
      <c r="C138" s="245"/>
      <c r="D138" s="230">
        <f>D139</f>
        <v>0</v>
      </c>
      <c r="E138" s="200">
        <f>E139</f>
        <v>239.10000000000002</v>
      </c>
      <c r="F138" s="200">
        <f>F139</f>
        <v>40989.5</v>
      </c>
    </row>
    <row r="139" spans="1:6" ht="31.5">
      <c r="A139" s="180" t="s">
        <v>1043</v>
      </c>
      <c r="B139" s="245" t="s">
        <v>902</v>
      </c>
      <c r="C139" s="245" t="s">
        <v>481</v>
      </c>
      <c r="D139" s="230">
        <f>прил.4!G238</f>
        <v>0</v>
      </c>
      <c r="E139" s="200">
        <f>прил.4!H238</f>
        <v>239.10000000000002</v>
      </c>
      <c r="F139" s="200">
        <f>прил.4!I238</f>
        <v>40989.5</v>
      </c>
    </row>
    <row r="140" spans="1:6" ht="63">
      <c r="A140" s="180" t="s">
        <v>914</v>
      </c>
      <c r="B140" s="243" t="s">
        <v>520</v>
      </c>
      <c r="C140" s="311"/>
      <c r="D140" s="200">
        <f>D141+D142</f>
        <v>13977.199999999999</v>
      </c>
      <c r="E140" s="200">
        <f>E141+E142</f>
        <v>23015.5</v>
      </c>
      <c r="F140" s="200">
        <f>F141+F142</f>
        <v>23015.5</v>
      </c>
    </row>
    <row r="141" spans="1:6" ht="31.5">
      <c r="A141" s="180" t="s">
        <v>630</v>
      </c>
      <c r="B141" s="243" t="s">
        <v>520</v>
      </c>
      <c r="C141" s="311">
        <v>200</v>
      </c>
      <c r="D141" s="200">
        <f>прил.4!G240+прил.4!G92+прил.4!G220</f>
        <v>11661.699999999999</v>
      </c>
      <c r="E141" s="200">
        <f>прил.4!H240+прил.4!H92</f>
        <v>22265.5</v>
      </c>
      <c r="F141" s="200">
        <f>прил.4!I240+прил.4!I92</f>
        <v>22265.5</v>
      </c>
    </row>
    <row r="142" spans="1:6" ht="31.5">
      <c r="A142" s="180" t="s">
        <v>485</v>
      </c>
      <c r="B142" s="243" t="s">
        <v>520</v>
      </c>
      <c r="C142" s="311">
        <v>600</v>
      </c>
      <c r="D142" s="200">
        <f>прил.4!G93</f>
        <v>2315.5</v>
      </c>
      <c r="E142" s="200">
        <f>прил.4!H93</f>
        <v>750</v>
      </c>
      <c r="F142" s="200">
        <f>прил.4!I93</f>
        <v>750</v>
      </c>
    </row>
    <row r="143" spans="1:6" ht="47.25">
      <c r="A143" s="249" t="s">
        <v>961</v>
      </c>
      <c r="B143" s="250" t="s">
        <v>568</v>
      </c>
      <c r="C143" s="312"/>
      <c r="D143" s="258">
        <f>D144+D148</f>
        <v>6380.6</v>
      </c>
      <c r="E143" s="258">
        <f>E144+E148</f>
        <v>5802</v>
      </c>
      <c r="F143" s="258">
        <f>F144+F148</f>
        <v>5802</v>
      </c>
    </row>
    <row r="144" spans="1:6" ht="78.75">
      <c r="A144" s="180" t="s">
        <v>935</v>
      </c>
      <c r="B144" s="243" t="s">
        <v>533</v>
      </c>
      <c r="C144" s="311"/>
      <c r="D144" s="200">
        <f>SUM(D145:D147)</f>
        <v>6358.8</v>
      </c>
      <c r="E144" s="200">
        <f>SUM(E145:E147)</f>
        <v>5802</v>
      </c>
      <c r="F144" s="200">
        <f>SUM(F145:F147)</f>
        <v>5802</v>
      </c>
    </row>
    <row r="145" spans="1:6" ht="63">
      <c r="A145" s="180" t="s">
        <v>482</v>
      </c>
      <c r="B145" s="243" t="s">
        <v>533</v>
      </c>
      <c r="C145" s="311">
        <v>100</v>
      </c>
      <c r="D145" s="200">
        <f>прил.4!G245</f>
        <v>5860.1</v>
      </c>
      <c r="E145" s="200">
        <f>прил.4!H245</f>
        <v>5098.7</v>
      </c>
      <c r="F145" s="200">
        <f>прил.4!I245</f>
        <v>5098.7</v>
      </c>
    </row>
    <row r="146" spans="1:6" ht="31.5">
      <c r="A146" s="180" t="s">
        <v>630</v>
      </c>
      <c r="B146" s="243" t="s">
        <v>533</v>
      </c>
      <c r="C146" s="311">
        <v>200</v>
      </c>
      <c r="D146" s="200">
        <f>прил.4!G246</f>
        <v>495.7</v>
      </c>
      <c r="E146" s="200">
        <f>прил.4!H246</f>
        <v>703.3</v>
      </c>
      <c r="F146" s="200">
        <f>прил.4!I246</f>
        <v>703.3</v>
      </c>
    </row>
    <row r="147" spans="1:6">
      <c r="A147" s="180" t="s">
        <v>470</v>
      </c>
      <c r="B147" s="243" t="s">
        <v>533</v>
      </c>
      <c r="C147" s="311">
        <v>800</v>
      </c>
      <c r="D147" s="200">
        <f>прил.4!G247</f>
        <v>3</v>
      </c>
      <c r="E147" s="200">
        <f>прил.4!H247</f>
        <v>0</v>
      </c>
      <c r="F147" s="200">
        <f>прил.4!I247</f>
        <v>0</v>
      </c>
    </row>
    <row r="148" spans="1:6">
      <c r="A148" s="180" t="s">
        <v>1114</v>
      </c>
      <c r="B148" s="245" t="s">
        <v>1041</v>
      </c>
      <c r="C148" s="245"/>
      <c r="D148" s="200">
        <f>D149</f>
        <v>21.8</v>
      </c>
      <c r="E148" s="200">
        <f>E149</f>
        <v>0</v>
      </c>
      <c r="F148" s="200">
        <f>F149</f>
        <v>0</v>
      </c>
    </row>
    <row r="149" spans="1:6" ht="31.5">
      <c r="A149" s="180" t="s">
        <v>630</v>
      </c>
      <c r="B149" s="245" t="s">
        <v>1041</v>
      </c>
      <c r="C149" s="245" t="s">
        <v>477</v>
      </c>
      <c r="D149" s="200">
        <f>прил.4!G242</f>
        <v>21.8</v>
      </c>
      <c r="E149" s="200">
        <v>0</v>
      </c>
      <c r="F149" s="200">
        <v>0</v>
      </c>
    </row>
    <row r="150" spans="1:6" ht="47.25">
      <c r="A150" s="249" t="s">
        <v>962</v>
      </c>
      <c r="B150" s="250" t="s">
        <v>569</v>
      </c>
      <c r="C150" s="312"/>
      <c r="D150" s="258">
        <f>D151+D162+D158+D167</f>
        <v>98900.1</v>
      </c>
      <c r="E150" s="258">
        <f>E151+E162+E158+E167</f>
        <v>86609.799999999988</v>
      </c>
      <c r="F150" s="258">
        <f>F151+F162+F158+F167</f>
        <v>35055.699999999997</v>
      </c>
    </row>
    <row r="151" spans="1:6" ht="63">
      <c r="A151" s="180" t="s">
        <v>963</v>
      </c>
      <c r="B151" s="243" t="s">
        <v>570</v>
      </c>
      <c r="C151" s="311"/>
      <c r="D151" s="200">
        <f>D156+D152</f>
        <v>66312.400000000009</v>
      </c>
      <c r="E151" s="200">
        <f>E156+E152</f>
        <v>67846.2</v>
      </c>
      <c r="F151" s="200">
        <f>F156+F152</f>
        <v>16292.1</v>
      </c>
    </row>
    <row r="152" spans="1:6" s="129" customFormat="1" ht="94.5">
      <c r="A152" s="180" t="s">
        <v>893</v>
      </c>
      <c r="B152" s="245" t="s">
        <v>874</v>
      </c>
      <c r="C152" s="245"/>
      <c r="D152" s="230">
        <f>D153+D154+D155</f>
        <v>66031.100000000006</v>
      </c>
      <c r="E152" s="230">
        <f>E153+E154+E155</f>
        <v>67546.2</v>
      </c>
      <c r="F152" s="230">
        <f>F153+F154+F155</f>
        <v>15992.1</v>
      </c>
    </row>
    <row r="153" spans="1:6" s="129" customFormat="1" ht="63">
      <c r="A153" s="180" t="s">
        <v>482</v>
      </c>
      <c r="B153" s="245" t="s">
        <v>874</v>
      </c>
      <c r="C153" s="245" t="s">
        <v>483</v>
      </c>
      <c r="D153" s="230">
        <f>прил.4!G360</f>
        <v>63360.800000000003</v>
      </c>
      <c r="E153" s="230">
        <f>прил.4!H360</f>
        <v>64073.599999999999</v>
      </c>
      <c r="F153" s="230">
        <f>прил.4!I360</f>
        <v>12519.5</v>
      </c>
    </row>
    <row r="154" spans="1:6" s="129" customFormat="1" ht="31.5">
      <c r="A154" s="180" t="s">
        <v>630</v>
      </c>
      <c r="B154" s="245" t="s">
        <v>874</v>
      </c>
      <c r="C154" s="245" t="s">
        <v>477</v>
      </c>
      <c r="D154" s="230">
        <f>прил.4!G361</f>
        <v>2197.1</v>
      </c>
      <c r="E154" s="230">
        <f>прил.4!H361</f>
        <v>3005.4</v>
      </c>
      <c r="F154" s="230">
        <f>прил.4!I361</f>
        <v>3005.4</v>
      </c>
    </row>
    <row r="155" spans="1:6" s="129" customFormat="1">
      <c r="A155" s="180" t="s">
        <v>470</v>
      </c>
      <c r="B155" s="245" t="s">
        <v>874</v>
      </c>
      <c r="C155" s="245" t="s">
        <v>471</v>
      </c>
      <c r="D155" s="230">
        <f>прил.4!G362</f>
        <v>473.2</v>
      </c>
      <c r="E155" s="230">
        <f>прил.4!H362</f>
        <v>467.2</v>
      </c>
      <c r="F155" s="230">
        <f>прил.4!I362</f>
        <v>467.2</v>
      </c>
    </row>
    <row r="156" spans="1:6" ht="94.5">
      <c r="A156" s="180" t="s">
        <v>944</v>
      </c>
      <c r="B156" s="243" t="s">
        <v>547</v>
      </c>
      <c r="C156" s="311"/>
      <c r="D156" s="200">
        <f>D157</f>
        <v>281.3</v>
      </c>
      <c r="E156" s="200">
        <f>E157</f>
        <v>300</v>
      </c>
      <c r="F156" s="200">
        <f>F157</f>
        <v>300</v>
      </c>
    </row>
    <row r="157" spans="1:6" ht="31.5">
      <c r="A157" s="180" t="s">
        <v>630</v>
      </c>
      <c r="B157" s="243" t="s">
        <v>547</v>
      </c>
      <c r="C157" s="311">
        <v>200</v>
      </c>
      <c r="D157" s="200">
        <f>прил.4!G364</f>
        <v>281.3</v>
      </c>
      <c r="E157" s="200">
        <f>прил.4!H364</f>
        <v>300</v>
      </c>
      <c r="F157" s="200">
        <f>прил.4!I364</f>
        <v>300</v>
      </c>
    </row>
    <row r="158" spans="1:6">
      <c r="A158" s="180" t="s">
        <v>634</v>
      </c>
      <c r="B158" s="243" t="s">
        <v>635</v>
      </c>
      <c r="C158" s="311"/>
      <c r="D158" s="200">
        <f>D159+D160+D161</f>
        <v>13230.400000000001</v>
      </c>
      <c r="E158" s="200">
        <f>E159+E160+E161</f>
        <v>15997.7</v>
      </c>
      <c r="F158" s="200">
        <f>F159+F160+F161</f>
        <v>15997.7</v>
      </c>
    </row>
    <row r="159" spans="1:6" ht="63">
      <c r="A159" s="180" t="s">
        <v>482</v>
      </c>
      <c r="B159" s="245" t="s">
        <v>633</v>
      </c>
      <c r="C159" s="245" t="s">
        <v>483</v>
      </c>
      <c r="D159" s="230">
        <f>прил.4!G366</f>
        <v>12428.2</v>
      </c>
      <c r="E159" s="200">
        <f>прил.4!H366</f>
        <v>12629.4</v>
      </c>
      <c r="F159" s="200">
        <f>прил.4!I366</f>
        <v>12629.4</v>
      </c>
    </row>
    <row r="160" spans="1:6" ht="31.5">
      <c r="A160" s="180" t="s">
        <v>630</v>
      </c>
      <c r="B160" s="245" t="s">
        <v>633</v>
      </c>
      <c r="C160" s="245" t="s">
        <v>477</v>
      </c>
      <c r="D160" s="230">
        <f>прил.4!G367</f>
        <v>452.2</v>
      </c>
      <c r="E160" s="200">
        <f>прил.4!H367</f>
        <v>3106.1</v>
      </c>
      <c r="F160" s="200">
        <f>прил.4!I367</f>
        <v>3106.1</v>
      </c>
    </row>
    <row r="161" spans="1:6" s="129" customFormat="1">
      <c r="A161" s="180" t="s">
        <v>470</v>
      </c>
      <c r="B161" s="245" t="s">
        <v>633</v>
      </c>
      <c r="C161" s="245" t="s">
        <v>471</v>
      </c>
      <c r="D161" s="230">
        <f>прил.4!G368</f>
        <v>350</v>
      </c>
      <c r="E161" s="200">
        <f>прил.4!H368</f>
        <v>262.2</v>
      </c>
      <c r="F161" s="230">
        <f>E161</f>
        <v>262.2</v>
      </c>
    </row>
    <row r="162" spans="1:6" ht="47.25">
      <c r="A162" s="180" t="s">
        <v>964</v>
      </c>
      <c r="B162" s="243" t="s">
        <v>571</v>
      </c>
      <c r="C162" s="311"/>
      <c r="D162" s="200">
        <f>D163</f>
        <v>2280.8000000000002</v>
      </c>
      <c r="E162" s="200">
        <f>E163</f>
        <v>2765.9</v>
      </c>
      <c r="F162" s="200">
        <f>F163</f>
        <v>2765.9</v>
      </c>
    </row>
    <row r="163" spans="1:6" ht="82.5" customHeight="1">
      <c r="A163" s="180" t="s">
        <v>945</v>
      </c>
      <c r="B163" s="243" t="s">
        <v>548</v>
      </c>
      <c r="C163" s="311"/>
      <c r="D163" s="200">
        <f>SUM(D164:D166)</f>
        <v>2280.8000000000002</v>
      </c>
      <c r="E163" s="200">
        <f>SUM(E164:E166)</f>
        <v>2765.9</v>
      </c>
      <c r="F163" s="200">
        <f>SUM(F164:F166)</f>
        <v>2765.9</v>
      </c>
    </row>
    <row r="164" spans="1:6" ht="63">
      <c r="A164" s="180" t="s">
        <v>482</v>
      </c>
      <c r="B164" s="243" t="s">
        <v>548</v>
      </c>
      <c r="C164" s="311">
        <v>100</v>
      </c>
      <c r="D164" s="200">
        <f>прил.4!G374</f>
        <v>1638.2</v>
      </c>
      <c r="E164" s="200">
        <f>прил.4!H374</f>
        <v>1978.5</v>
      </c>
      <c r="F164" s="200">
        <f>прил.4!I374</f>
        <v>1978.5</v>
      </c>
    </row>
    <row r="165" spans="1:6" ht="31.5">
      <c r="A165" s="180" t="s">
        <v>630</v>
      </c>
      <c r="B165" s="243" t="s">
        <v>548</v>
      </c>
      <c r="C165" s="311">
        <v>200</v>
      </c>
      <c r="D165" s="200">
        <f>прил.4!G375+прил.4!G371</f>
        <v>641.6</v>
      </c>
      <c r="E165" s="200">
        <f>прил.4!H375+прил.4!H371</f>
        <v>786.4</v>
      </c>
      <c r="F165" s="200">
        <f>прил.4!I375+прил.4!I371</f>
        <v>786.4</v>
      </c>
    </row>
    <row r="166" spans="1:6">
      <c r="A166" s="180" t="s">
        <v>470</v>
      </c>
      <c r="B166" s="243" t="s">
        <v>548</v>
      </c>
      <c r="C166" s="311">
        <v>800</v>
      </c>
      <c r="D166" s="200">
        <f>прил.4!G376</f>
        <v>1</v>
      </c>
      <c r="E166" s="200">
        <f>прил.4!H376</f>
        <v>1</v>
      </c>
      <c r="F166" s="200">
        <f>прил.4!I376</f>
        <v>1</v>
      </c>
    </row>
    <row r="167" spans="1:6" s="129" customFormat="1" ht="95.25" customHeight="1">
      <c r="A167" s="180" t="s">
        <v>869</v>
      </c>
      <c r="B167" s="251" t="s">
        <v>870</v>
      </c>
      <c r="C167" s="245"/>
      <c r="D167" s="230">
        <f>D168</f>
        <v>17076.5</v>
      </c>
      <c r="E167" s="230">
        <f>E168</f>
        <v>0</v>
      </c>
      <c r="F167" s="230">
        <f>F168</f>
        <v>0</v>
      </c>
    </row>
    <row r="168" spans="1:6" s="129" customFormat="1" ht="31.5">
      <c r="A168" s="180" t="s">
        <v>1043</v>
      </c>
      <c r="B168" s="251" t="s">
        <v>871</v>
      </c>
      <c r="C168" s="245" t="s">
        <v>481</v>
      </c>
      <c r="D168" s="230">
        <f>прил.4!G185</f>
        <v>17076.5</v>
      </c>
      <c r="E168" s="230">
        <f>прил.4!H185</f>
        <v>0</v>
      </c>
      <c r="F168" s="230">
        <f>прил.4!I185</f>
        <v>0</v>
      </c>
    </row>
    <row r="169" spans="1:6" s="129" customFormat="1" ht="31.5">
      <c r="A169" s="249" t="s">
        <v>879</v>
      </c>
      <c r="B169" s="270" t="s">
        <v>572</v>
      </c>
      <c r="C169" s="248"/>
      <c r="D169" s="181">
        <f>D170+D173</f>
        <v>108072.20000000001</v>
      </c>
      <c r="E169" s="181">
        <f>E170+E173</f>
        <v>67176.600000000006</v>
      </c>
      <c r="F169" s="181">
        <f>F170+F173</f>
        <v>14893.5</v>
      </c>
    </row>
    <row r="170" spans="1:6" ht="31.5">
      <c r="A170" s="253" t="s">
        <v>905</v>
      </c>
      <c r="B170" s="250" t="s">
        <v>673</v>
      </c>
      <c r="C170" s="312"/>
      <c r="D170" s="258">
        <f>D171</f>
        <v>100</v>
      </c>
      <c r="E170" s="258">
        <f>E171</f>
        <v>100</v>
      </c>
      <c r="F170" s="258">
        <f t="shared" ref="D170:F171" si="4">F171</f>
        <v>100</v>
      </c>
    </row>
    <row r="171" spans="1:6" ht="31.5">
      <c r="A171" s="177" t="s">
        <v>965</v>
      </c>
      <c r="B171" s="251" t="s">
        <v>593</v>
      </c>
      <c r="C171" s="245"/>
      <c r="D171" s="230">
        <f t="shared" si="4"/>
        <v>100</v>
      </c>
      <c r="E171" s="200">
        <f t="shared" si="4"/>
        <v>100</v>
      </c>
      <c r="F171" s="200">
        <f t="shared" si="4"/>
        <v>100</v>
      </c>
    </row>
    <row r="172" spans="1:6" ht="31.5">
      <c r="A172" s="180" t="s">
        <v>630</v>
      </c>
      <c r="B172" s="251" t="s">
        <v>597</v>
      </c>
      <c r="C172" s="245" t="s">
        <v>477</v>
      </c>
      <c r="D172" s="230">
        <f>прил.4!G41</f>
        <v>100</v>
      </c>
      <c r="E172" s="200">
        <f>прил.4!H41</f>
        <v>100</v>
      </c>
      <c r="F172" s="200">
        <f>прил.4!I41</f>
        <v>100</v>
      </c>
    </row>
    <row r="173" spans="1:6" ht="31.5">
      <c r="A173" s="249" t="s">
        <v>921</v>
      </c>
      <c r="B173" s="250" t="s">
        <v>573</v>
      </c>
      <c r="C173" s="312"/>
      <c r="D173" s="258">
        <f>D174+D178+D180</f>
        <v>107972.20000000001</v>
      </c>
      <c r="E173" s="258">
        <f>E174+E178+E180</f>
        <v>67076.600000000006</v>
      </c>
      <c r="F173" s="258">
        <f>F174+F178+F180</f>
        <v>14793.5</v>
      </c>
    </row>
    <row r="174" spans="1:6" ht="47.25">
      <c r="A174" s="180" t="s">
        <v>966</v>
      </c>
      <c r="B174" s="243" t="s">
        <v>528</v>
      </c>
      <c r="C174" s="311"/>
      <c r="D174" s="200">
        <f>SUM(D175:D177)</f>
        <v>13775.2</v>
      </c>
      <c r="E174" s="200">
        <f>SUM(E175:E177)</f>
        <v>14793.5</v>
      </c>
      <c r="F174" s="200">
        <f>SUM(F175:F177)</f>
        <v>14793.5</v>
      </c>
    </row>
    <row r="175" spans="1:6" ht="63">
      <c r="A175" s="180" t="s">
        <v>482</v>
      </c>
      <c r="B175" s="243" t="s">
        <v>528</v>
      </c>
      <c r="C175" s="311">
        <v>100</v>
      </c>
      <c r="D175" s="200">
        <f>прил.4!G204</f>
        <v>11787.6</v>
      </c>
      <c r="E175" s="200">
        <f>прил.4!H204</f>
        <v>12636.1</v>
      </c>
      <c r="F175" s="200">
        <f>прил.4!I204</f>
        <v>12636.1</v>
      </c>
    </row>
    <row r="176" spans="1:6" ht="31.5">
      <c r="A176" s="180" t="s">
        <v>630</v>
      </c>
      <c r="B176" s="243" t="s">
        <v>528</v>
      </c>
      <c r="C176" s="311">
        <v>200</v>
      </c>
      <c r="D176" s="200">
        <f>прил.4!G205</f>
        <v>1955.6</v>
      </c>
      <c r="E176" s="200">
        <f>прил.4!H205</f>
        <v>2109.4</v>
      </c>
      <c r="F176" s="200">
        <f>прил.4!I205</f>
        <v>2109.4</v>
      </c>
    </row>
    <row r="177" spans="1:6">
      <c r="A177" s="180" t="s">
        <v>470</v>
      </c>
      <c r="B177" s="243" t="s">
        <v>528</v>
      </c>
      <c r="C177" s="311">
        <v>800</v>
      </c>
      <c r="D177" s="200">
        <f>прил.4!G206</f>
        <v>32</v>
      </c>
      <c r="E177" s="200">
        <f>прил.4!H206</f>
        <v>48</v>
      </c>
      <c r="F177" s="200">
        <f>прил.4!I206</f>
        <v>48</v>
      </c>
    </row>
    <row r="178" spans="1:6" ht="63">
      <c r="A178" s="180" t="s">
        <v>922</v>
      </c>
      <c r="B178" s="245" t="s">
        <v>509</v>
      </c>
      <c r="C178" s="248"/>
      <c r="D178" s="230">
        <f>D179</f>
        <v>90742.700000000012</v>
      </c>
      <c r="E178" s="200">
        <f>E179</f>
        <v>52283.1</v>
      </c>
      <c r="F178" s="200">
        <f>F179</f>
        <v>0</v>
      </c>
    </row>
    <row r="179" spans="1:6" ht="31.5">
      <c r="A179" s="180" t="s">
        <v>630</v>
      </c>
      <c r="B179" s="245" t="s">
        <v>509</v>
      </c>
      <c r="C179" s="245" t="s">
        <v>477</v>
      </c>
      <c r="D179" s="230">
        <f>прил.4!G73+прил.4!G209</f>
        <v>90742.700000000012</v>
      </c>
      <c r="E179" s="200">
        <f>прил.4!H73+прил.4!H209</f>
        <v>52283.1</v>
      </c>
      <c r="F179" s="200">
        <f>прил.4!I73+прил.4!I209</f>
        <v>0</v>
      </c>
    </row>
    <row r="180" spans="1:6" ht="47.25">
      <c r="A180" s="179" t="s">
        <v>873</v>
      </c>
      <c r="B180" s="245" t="s">
        <v>872</v>
      </c>
      <c r="C180" s="245"/>
      <c r="D180" s="230">
        <f>D181</f>
        <v>3454.3</v>
      </c>
      <c r="E180" s="230">
        <f>E181</f>
        <v>0</v>
      </c>
      <c r="F180" s="230">
        <f>F181</f>
        <v>0</v>
      </c>
    </row>
    <row r="181" spans="1:6" ht="31.5">
      <c r="A181" s="180" t="s">
        <v>630</v>
      </c>
      <c r="B181" s="245" t="s">
        <v>872</v>
      </c>
      <c r="C181" s="245" t="s">
        <v>477</v>
      </c>
      <c r="D181" s="230">
        <f>прил.4!G271</f>
        <v>3454.3</v>
      </c>
      <c r="E181" s="230">
        <f>прил.4!H271</f>
        <v>0</v>
      </c>
      <c r="F181" s="230">
        <f>прил.4!I271</f>
        <v>0</v>
      </c>
    </row>
    <row r="182" spans="1:6" ht="51.75" customHeight="1">
      <c r="A182" s="249" t="s">
        <v>967</v>
      </c>
      <c r="B182" s="250" t="s">
        <v>574</v>
      </c>
      <c r="C182" s="312"/>
      <c r="D182" s="258">
        <f>D183</f>
        <v>6779.0999999999995</v>
      </c>
      <c r="E182" s="258">
        <f>E183</f>
        <v>6948.2</v>
      </c>
      <c r="F182" s="258">
        <f>F183</f>
        <v>6956.1</v>
      </c>
    </row>
    <row r="183" spans="1:6" ht="78.75">
      <c r="A183" s="180" t="s">
        <v>936</v>
      </c>
      <c r="B183" s="243" t="s">
        <v>534</v>
      </c>
      <c r="C183" s="311"/>
      <c r="D183" s="200">
        <f>SUM(D184:D186)</f>
        <v>6779.0999999999995</v>
      </c>
      <c r="E183" s="200">
        <f>SUM(E184:E186)</f>
        <v>6948.2</v>
      </c>
      <c r="F183" s="200">
        <f>SUM(F184:F186)</f>
        <v>6956.1</v>
      </c>
    </row>
    <row r="184" spans="1:6" ht="63">
      <c r="A184" s="180" t="s">
        <v>482</v>
      </c>
      <c r="B184" s="243" t="s">
        <v>534</v>
      </c>
      <c r="C184" s="311">
        <v>100</v>
      </c>
      <c r="D184" s="200">
        <f>прил.4!G251</f>
        <v>4367.8999999999996</v>
      </c>
      <c r="E184" s="200">
        <f>прил.4!H251</f>
        <v>4539.3</v>
      </c>
      <c r="F184" s="200">
        <f>прил.4!I251</f>
        <v>4539.3</v>
      </c>
    </row>
    <row r="185" spans="1:6" ht="31.5">
      <c r="A185" s="180" t="s">
        <v>630</v>
      </c>
      <c r="B185" s="243" t="s">
        <v>534</v>
      </c>
      <c r="C185" s="311">
        <v>200</v>
      </c>
      <c r="D185" s="200">
        <f>прил.4!G252</f>
        <v>2411.1999999999998</v>
      </c>
      <c r="E185" s="200">
        <f>прил.4!H252</f>
        <v>2408.7000000000003</v>
      </c>
      <c r="F185" s="200">
        <f>прил.4!I252</f>
        <v>2416.6000000000004</v>
      </c>
    </row>
    <row r="186" spans="1:6">
      <c r="A186" s="180" t="s">
        <v>470</v>
      </c>
      <c r="B186" s="243" t="s">
        <v>534</v>
      </c>
      <c r="C186" s="311">
        <v>800</v>
      </c>
      <c r="D186" s="200">
        <f>прил.4!G253</f>
        <v>0</v>
      </c>
      <c r="E186" s="200">
        <f>прил.4!H253</f>
        <v>0.2</v>
      </c>
      <c r="F186" s="200">
        <f>прил.4!I253</f>
        <v>0.2</v>
      </c>
    </row>
    <row r="187" spans="1:6" ht="47.25">
      <c r="A187" s="249" t="s">
        <v>968</v>
      </c>
      <c r="B187" s="250" t="s">
        <v>575</v>
      </c>
      <c r="C187" s="312"/>
      <c r="D187" s="258">
        <f>D188+D199</f>
        <v>938999.7</v>
      </c>
      <c r="E187" s="258">
        <f>E188+E199</f>
        <v>865218.7</v>
      </c>
      <c r="F187" s="258">
        <f>F188+F199</f>
        <v>879827.4</v>
      </c>
    </row>
    <row r="188" spans="1:6" ht="47.25">
      <c r="A188" s="180" t="s">
        <v>969</v>
      </c>
      <c r="B188" s="243" t="s">
        <v>576</v>
      </c>
      <c r="C188" s="311"/>
      <c r="D188" s="200">
        <f>D189+D195+D193+D197</f>
        <v>910999.7</v>
      </c>
      <c r="E188" s="200">
        <f>E189+E195+E193+E197</f>
        <v>845218.7</v>
      </c>
      <c r="F188" s="200">
        <f>F189+F195+F193+F197</f>
        <v>859827.4</v>
      </c>
    </row>
    <row r="189" spans="1:6" ht="67.5" customHeight="1">
      <c r="A189" s="180" t="s">
        <v>927</v>
      </c>
      <c r="B189" s="243" t="s">
        <v>508</v>
      </c>
      <c r="C189" s="311"/>
      <c r="D189" s="200">
        <f>SUM(D190:D192)</f>
        <v>353102.19999999995</v>
      </c>
      <c r="E189" s="200">
        <f>SUM(E190:E192)</f>
        <v>365218.69999999995</v>
      </c>
      <c r="F189" s="200">
        <f>SUM(F190:F192)</f>
        <v>379827.4</v>
      </c>
    </row>
    <row r="190" spans="1:6" ht="31.5">
      <c r="A190" s="180" t="s">
        <v>630</v>
      </c>
      <c r="B190" s="243" t="s">
        <v>508</v>
      </c>
      <c r="C190" s="311">
        <v>200</v>
      </c>
      <c r="D190" s="200">
        <f>прил.4!G140+прил.4!G268</f>
        <v>342579.3</v>
      </c>
      <c r="E190" s="200">
        <f>прил.4!H140+прил.4!H268</f>
        <v>350911.1</v>
      </c>
      <c r="F190" s="200">
        <f>прил.4!I140+прил.4!I268</f>
        <v>365519.80000000005</v>
      </c>
    </row>
    <row r="191" spans="1:6" ht="31.5">
      <c r="A191" s="180" t="s">
        <v>1043</v>
      </c>
      <c r="B191" s="243" t="s">
        <v>508</v>
      </c>
      <c r="C191" s="311">
        <v>400</v>
      </c>
      <c r="D191" s="200">
        <f>прил.4!G141</f>
        <v>2277.6</v>
      </c>
      <c r="E191" s="200">
        <f>прил.4!H141</f>
        <v>0</v>
      </c>
      <c r="F191" s="200">
        <f>прил.4!I141</f>
        <v>0</v>
      </c>
    </row>
    <row r="192" spans="1:6" s="163" customFormat="1">
      <c r="A192" s="180" t="s">
        <v>470</v>
      </c>
      <c r="B192" s="245" t="s">
        <v>508</v>
      </c>
      <c r="C192" s="245" t="s">
        <v>471</v>
      </c>
      <c r="D192" s="230">
        <f>прил.4!G142</f>
        <v>8245.2999999999993</v>
      </c>
      <c r="E192" s="200">
        <f>прил.4!H142</f>
        <v>14307.6</v>
      </c>
      <c r="F192" s="200">
        <f>прил.4!I142</f>
        <v>14307.6</v>
      </c>
    </row>
    <row r="193" spans="1:6" s="163" customFormat="1" ht="47.25">
      <c r="A193" s="180" t="s">
        <v>606</v>
      </c>
      <c r="B193" s="245" t="s">
        <v>676</v>
      </c>
      <c r="C193" s="245"/>
      <c r="D193" s="230">
        <f>D194</f>
        <v>50000</v>
      </c>
      <c r="E193" s="230">
        <f>E194</f>
        <v>0</v>
      </c>
      <c r="F193" s="230">
        <f>F194</f>
        <v>0</v>
      </c>
    </row>
    <row r="194" spans="1:6" s="163" customFormat="1" ht="31.5">
      <c r="A194" s="180" t="s">
        <v>630</v>
      </c>
      <c r="B194" s="245" t="s">
        <v>676</v>
      </c>
      <c r="C194" s="245" t="s">
        <v>477</v>
      </c>
      <c r="D194" s="230">
        <f>прил.4!G144</f>
        <v>50000</v>
      </c>
      <c r="E194" s="230">
        <f>прил.4!H144</f>
        <v>0</v>
      </c>
      <c r="F194" s="230">
        <f>прил.4!I144</f>
        <v>0</v>
      </c>
    </row>
    <row r="195" spans="1:6" ht="47.25">
      <c r="A195" s="180" t="s">
        <v>598</v>
      </c>
      <c r="B195" s="245" t="s">
        <v>599</v>
      </c>
      <c r="C195" s="245"/>
      <c r="D195" s="230">
        <f>D196</f>
        <v>27897.5</v>
      </c>
      <c r="E195" s="230">
        <f>E196</f>
        <v>0</v>
      </c>
      <c r="F195" s="230">
        <f>F196</f>
        <v>0</v>
      </c>
    </row>
    <row r="196" spans="1:6" ht="31.5">
      <c r="A196" s="180" t="s">
        <v>1043</v>
      </c>
      <c r="B196" s="245" t="s">
        <v>599</v>
      </c>
      <c r="C196" s="245" t="s">
        <v>481</v>
      </c>
      <c r="D196" s="230">
        <f>прил.4!G146</f>
        <v>27897.5</v>
      </c>
      <c r="E196" s="230">
        <f>прил.4!H146</f>
        <v>0</v>
      </c>
      <c r="F196" s="230">
        <f>прил.4!I146</f>
        <v>0</v>
      </c>
    </row>
    <row r="197" spans="1:6" s="163" customFormat="1" ht="47.25">
      <c r="A197" s="180" t="s">
        <v>1137</v>
      </c>
      <c r="B197" s="245" t="s">
        <v>868</v>
      </c>
      <c r="C197" s="245"/>
      <c r="D197" s="230">
        <f>D198</f>
        <v>480000</v>
      </c>
      <c r="E197" s="230">
        <f>E198</f>
        <v>480000</v>
      </c>
      <c r="F197" s="230">
        <f>F198</f>
        <v>480000</v>
      </c>
    </row>
    <row r="198" spans="1:6" s="163" customFormat="1" ht="31.5">
      <c r="A198" s="180" t="s">
        <v>630</v>
      </c>
      <c r="B198" s="245" t="s">
        <v>868</v>
      </c>
      <c r="C198" s="245" t="s">
        <v>477</v>
      </c>
      <c r="D198" s="230">
        <f>прил.4!G148</f>
        <v>480000</v>
      </c>
      <c r="E198" s="230">
        <f>прил.4!H148</f>
        <v>480000</v>
      </c>
      <c r="F198" s="230">
        <f>прил.4!I148</f>
        <v>480000</v>
      </c>
    </row>
    <row r="199" spans="1:6" ht="63">
      <c r="A199" s="180" t="s">
        <v>907</v>
      </c>
      <c r="B199" s="243" t="s">
        <v>577</v>
      </c>
      <c r="C199" s="311"/>
      <c r="D199" s="200">
        <f t="shared" ref="D199:F200" si="5">D200</f>
        <v>28000</v>
      </c>
      <c r="E199" s="200">
        <f t="shared" si="5"/>
        <v>20000</v>
      </c>
      <c r="F199" s="200">
        <f t="shared" si="5"/>
        <v>20000</v>
      </c>
    </row>
    <row r="200" spans="1:6" ht="78.75">
      <c r="A200" s="180" t="s">
        <v>906</v>
      </c>
      <c r="B200" s="243" t="s">
        <v>507</v>
      </c>
      <c r="C200" s="311"/>
      <c r="D200" s="200">
        <f t="shared" si="5"/>
        <v>28000</v>
      </c>
      <c r="E200" s="200">
        <f t="shared" si="5"/>
        <v>20000</v>
      </c>
      <c r="F200" s="200">
        <f t="shared" si="5"/>
        <v>20000</v>
      </c>
    </row>
    <row r="201" spans="1:6">
      <c r="A201" s="180" t="s">
        <v>470</v>
      </c>
      <c r="B201" s="243" t="s">
        <v>507</v>
      </c>
      <c r="C201" s="311">
        <v>800</v>
      </c>
      <c r="D201" s="200">
        <f>прил.4!G69</f>
        <v>28000</v>
      </c>
      <c r="E201" s="200">
        <f>прил.4!H69</f>
        <v>20000</v>
      </c>
      <c r="F201" s="200">
        <f>прил.4!I69</f>
        <v>20000</v>
      </c>
    </row>
    <row r="202" spans="1:6" ht="47.25">
      <c r="A202" s="249" t="s">
        <v>908</v>
      </c>
      <c r="B202" s="250" t="s">
        <v>578</v>
      </c>
      <c r="C202" s="312"/>
      <c r="D202" s="258">
        <f>D203+D208+D206</f>
        <v>28670.6</v>
      </c>
      <c r="E202" s="258">
        <f>E203+E208+E206</f>
        <v>42921.8</v>
      </c>
      <c r="F202" s="258">
        <f>F203+F208+F206</f>
        <v>32921.800000000003</v>
      </c>
    </row>
    <row r="203" spans="1:6" ht="94.5">
      <c r="A203" s="180" t="s">
        <v>937</v>
      </c>
      <c r="B203" s="243" t="s">
        <v>535</v>
      </c>
      <c r="C203" s="311"/>
      <c r="D203" s="200">
        <f>D204+D205</f>
        <v>4092</v>
      </c>
      <c r="E203" s="200">
        <f>E204+E205</f>
        <v>3000</v>
      </c>
      <c r="F203" s="200">
        <f>F204+F205</f>
        <v>3000</v>
      </c>
    </row>
    <row r="204" spans="1:6" ht="31.5">
      <c r="A204" s="180" t="s">
        <v>630</v>
      </c>
      <c r="B204" s="243" t="s">
        <v>535</v>
      </c>
      <c r="C204" s="311">
        <v>200</v>
      </c>
      <c r="D204" s="200">
        <f>прил.4!G258</f>
        <v>3572</v>
      </c>
      <c r="E204" s="200">
        <f>прил.4!H258</f>
        <v>3000</v>
      </c>
      <c r="F204" s="200">
        <f>прил.4!I258</f>
        <v>3000</v>
      </c>
    </row>
    <row r="205" spans="1:6" ht="31.5">
      <c r="A205" s="180" t="s">
        <v>1043</v>
      </c>
      <c r="B205" s="245" t="s">
        <v>535</v>
      </c>
      <c r="C205" s="245" t="s">
        <v>481</v>
      </c>
      <c r="D205" s="230">
        <f>прил.4!G282</f>
        <v>520</v>
      </c>
      <c r="E205" s="200">
        <f>прил.4!H282</f>
        <v>0</v>
      </c>
      <c r="F205" s="200">
        <f>прил.4!I282</f>
        <v>0</v>
      </c>
    </row>
    <row r="206" spans="1:6" ht="94.5">
      <c r="A206" s="180" t="s">
        <v>937</v>
      </c>
      <c r="B206" s="243" t="s">
        <v>502</v>
      </c>
      <c r="C206" s="311"/>
      <c r="D206" s="200">
        <f>D207</f>
        <v>6260.4</v>
      </c>
      <c r="E206" s="200">
        <f>E207</f>
        <v>15000</v>
      </c>
      <c r="F206" s="200">
        <f>F207</f>
        <v>5000</v>
      </c>
    </row>
    <row r="207" spans="1:6" ht="31.5">
      <c r="A207" s="180" t="s">
        <v>630</v>
      </c>
      <c r="B207" s="243" t="s">
        <v>502</v>
      </c>
      <c r="C207" s="311">
        <v>200</v>
      </c>
      <c r="D207" s="200">
        <f>прил.4!G260</f>
        <v>6260.4</v>
      </c>
      <c r="E207" s="200">
        <f>прил.4!H260</f>
        <v>15000</v>
      </c>
      <c r="F207" s="200">
        <f>прил.4!I260</f>
        <v>5000</v>
      </c>
    </row>
    <row r="208" spans="1:6" ht="94.5">
      <c r="A208" s="180" t="s">
        <v>946</v>
      </c>
      <c r="B208" s="243" t="s">
        <v>503</v>
      </c>
      <c r="C208" s="311"/>
      <c r="D208" s="200">
        <f>SUM(D209:D211)</f>
        <v>18318.2</v>
      </c>
      <c r="E208" s="200">
        <f>SUM(E209:E211)</f>
        <v>24921.8</v>
      </c>
      <c r="F208" s="200">
        <f>SUM(F209:F211)</f>
        <v>24921.8</v>
      </c>
    </row>
    <row r="209" spans="1:6" ht="63">
      <c r="A209" s="180" t="s">
        <v>482</v>
      </c>
      <c r="B209" s="243" t="s">
        <v>503</v>
      </c>
      <c r="C209" s="311">
        <v>100</v>
      </c>
      <c r="D209" s="200">
        <f>прил.4!G262</f>
        <v>13938.7</v>
      </c>
      <c r="E209" s="200">
        <f>прил.4!H262</f>
        <v>13750.5</v>
      </c>
      <c r="F209" s="200">
        <f>прил.4!I262</f>
        <v>13750.5</v>
      </c>
    </row>
    <row r="210" spans="1:6" ht="31.5">
      <c r="A210" s="180" t="s">
        <v>630</v>
      </c>
      <c r="B210" s="243" t="s">
        <v>503</v>
      </c>
      <c r="C210" s="311">
        <v>200</v>
      </c>
      <c r="D210" s="200">
        <f>прил.4!G263</f>
        <v>3968.4</v>
      </c>
      <c r="E210" s="200">
        <f>прил.4!H263</f>
        <v>11095.3</v>
      </c>
      <c r="F210" s="200">
        <f>прил.4!I263</f>
        <v>11095.3</v>
      </c>
    </row>
    <row r="211" spans="1:6">
      <c r="A211" s="180" t="s">
        <v>470</v>
      </c>
      <c r="B211" s="243" t="s">
        <v>503</v>
      </c>
      <c r="C211" s="311">
        <v>800</v>
      </c>
      <c r="D211" s="200">
        <f>прил.4!G264</f>
        <v>411.1</v>
      </c>
      <c r="E211" s="200">
        <f>прил.4!H264</f>
        <v>76</v>
      </c>
      <c r="F211" s="200">
        <f>прил.4!I264</f>
        <v>76</v>
      </c>
    </row>
    <row r="212" spans="1:6" ht="47.25">
      <c r="A212" s="249" t="s">
        <v>685</v>
      </c>
      <c r="B212" s="250" t="s">
        <v>579</v>
      </c>
      <c r="C212" s="312"/>
      <c r="D212" s="258">
        <f>D213+D218+D223</f>
        <v>20040.7</v>
      </c>
      <c r="E212" s="258">
        <f>E213+E218+E223</f>
        <v>28086.199999999997</v>
      </c>
      <c r="F212" s="258">
        <f>F213+F218+F223</f>
        <v>28086.199999999997</v>
      </c>
    </row>
    <row r="213" spans="1:6" ht="94.5">
      <c r="A213" s="180" t="s">
        <v>682</v>
      </c>
      <c r="B213" s="243" t="s">
        <v>580</v>
      </c>
      <c r="C213" s="311"/>
      <c r="D213" s="200">
        <f>D214</f>
        <v>5000</v>
      </c>
      <c r="E213" s="200">
        <f>E214</f>
        <v>5000</v>
      </c>
      <c r="F213" s="200">
        <f>F214</f>
        <v>5000</v>
      </c>
    </row>
    <row r="214" spans="1:6" ht="94.5">
      <c r="A214" s="180" t="s">
        <v>682</v>
      </c>
      <c r="B214" s="243" t="s">
        <v>550</v>
      </c>
      <c r="C214" s="311"/>
      <c r="D214" s="200">
        <f>D217+D215+D216</f>
        <v>5000</v>
      </c>
      <c r="E214" s="200">
        <f>E217+E215+E216</f>
        <v>5000</v>
      </c>
      <c r="F214" s="200">
        <f>F217+F215+F216</f>
        <v>5000</v>
      </c>
    </row>
    <row r="215" spans="1:6" s="129" customFormat="1" ht="31.5">
      <c r="A215" s="180" t="s">
        <v>630</v>
      </c>
      <c r="B215" s="245" t="s">
        <v>550</v>
      </c>
      <c r="C215" s="245" t="s">
        <v>477</v>
      </c>
      <c r="D215" s="230">
        <f>прил.4!G164</f>
        <v>1325.1</v>
      </c>
      <c r="E215" s="230">
        <f>прил.4!H164</f>
        <v>0</v>
      </c>
      <c r="F215" s="230">
        <f>прил.4!I164</f>
        <v>0</v>
      </c>
    </row>
    <row r="216" spans="1:6" s="129" customFormat="1" ht="31.5">
      <c r="A216" s="180" t="s">
        <v>1043</v>
      </c>
      <c r="B216" s="245" t="s">
        <v>550</v>
      </c>
      <c r="C216" s="245" t="s">
        <v>481</v>
      </c>
      <c r="D216" s="230">
        <f>прил.4!G165</f>
        <v>1397</v>
      </c>
      <c r="E216" s="230">
        <f>прил.4!H165</f>
        <v>0</v>
      </c>
      <c r="F216" s="230">
        <f>прил.4!I165</f>
        <v>0</v>
      </c>
    </row>
    <row r="217" spans="1:6">
      <c r="A217" s="180" t="s">
        <v>470</v>
      </c>
      <c r="B217" s="243" t="s">
        <v>550</v>
      </c>
      <c r="C217" s="311">
        <v>800</v>
      </c>
      <c r="D217" s="200">
        <f>прил.4!G386</f>
        <v>2277.9</v>
      </c>
      <c r="E217" s="200">
        <f>прил.4!H386</f>
        <v>5000</v>
      </c>
      <c r="F217" s="200">
        <f>прил.4!I386</f>
        <v>5000</v>
      </c>
    </row>
    <row r="218" spans="1:6" ht="63">
      <c r="A218" s="180" t="s">
        <v>684</v>
      </c>
      <c r="B218" s="243" t="s">
        <v>581</v>
      </c>
      <c r="C218" s="311"/>
      <c r="D218" s="200">
        <f>D219</f>
        <v>13582.4</v>
      </c>
      <c r="E218" s="200">
        <f>E219</f>
        <v>14336.199999999999</v>
      </c>
      <c r="F218" s="200">
        <f>F219</f>
        <v>14336.199999999999</v>
      </c>
    </row>
    <row r="219" spans="1:6" ht="94.5">
      <c r="A219" s="180" t="s">
        <v>683</v>
      </c>
      <c r="B219" s="311">
        <v>3920490019</v>
      </c>
      <c r="C219" s="311"/>
      <c r="D219" s="200">
        <f>SUM(D220:D222)</f>
        <v>13582.4</v>
      </c>
      <c r="E219" s="200">
        <f>SUM(E220:E222)</f>
        <v>14336.199999999999</v>
      </c>
      <c r="F219" s="200">
        <f>SUM(F220:F222)</f>
        <v>14336.199999999999</v>
      </c>
    </row>
    <row r="220" spans="1:6" ht="63">
      <c r="A220" s="180" t="s">
        <v>482</v>
      </c>
      <c r="B220" s="311">
        <v>3920490019</v>
      </c>
      <c r="C220" s="311">
        <v>100</v>
      </c>
      <c r="D220" s="200">
        <f>прил.4!G381</f>
        <v>11998.3</v>
      </c>
      <c r="E220" s="200">
        <f>прил.4!H381</f>
        <v>12465.8</v>
      </c>
      <c r="F220" s="200">
        <f>прил.4!I381</f>
        <v>12465.8</v>
      </c>
    </row>
    <row r="221" spans="1:6" ht="31.5">
      <c r="A221" s="180" t="s">
        <v>630</v>
      </c>
      <c r="B221" s="311">
        <v>3920490019</v>
      </c>
      <c r="C221" s="311">
        <v>200</v>
      </c>
      <c r="D221" s="200">
        <f>прил.4!G382</f>
        <v>1577.2</v>
      </c>
      <c r="E221" s="200">
        <f>прил.4!H382</f>
        <v>1870.4</v>
      </c>
      <c r="F221" s="200">
        <f>прил.4!I382</f>
        <v>1870.4</v>
      </c>
    </row>
    <row r="222" spans="1:6">
      <c r="A222" s="180" t="s">
        <v>470</v>
      </c>
      <c r="B222" s="311">
        <v>3920490019</v>
      </c>
      <c r="C222" s="311">
        <v>800</v>
      </c>
      <c r="D222" s="200">
        <f>прил.4!G383</f>
        <v>6.9</v>
      </c>
      <c r="E222" s="200">
        <f>прил.4!H383</f>
        <v>0</v>
      </c>
      <c r="F222" s="200">
        <f>прил.4!I383</f>
        <v>0</v>
      </c>
    </row>
    <row r="223" spans="1:6">
      <c r="A223" s="180" t="s">
        <v>160</v>
      </c>
      <c r="B223" s="245" t="s">
        <v>882</v>
      </c>
      <c r="C223" s="245"/>
      <c r="D223" s="230">
        <f>D224</f>
        <v>1458.3</v>
      </c>
      <c r="E223" s="200">
        <f>E224</f>
        <v>8750</v>
      </c>
      <c r="F223" s="200">
        <f>F224</f>
        <v>8750</v>
      </c>
    </row>
    <row r="224" spans="1:6">
      <c r="A224" s="180" t="s">
        <v>188</v>
      </c>
      <c r="B224" s="245" t="s">
        <v>882</v>
      </c>
      <c r="C224" s="245" t="s">
        <v>883</v>
      </c>
      <c r="D224" s="230">
        <f>прил.4!G117</f>
        <v>1458.3</v>
      </c>
      <c r="E224" s="200">
        <f>прил.4!H117</f>
        <v>8750</v>
      </c>
      <c r="F224" s="200">
        <f>прил.4!I117</f>
        <v>8750</v>
      </c>
    </row>
    <row r="225" spans="1:6" ht="47.25">
      <c r="A225" s="249" t="s">
        <v>495</v>
      </c>
      <c r="B225" s="250"/>
      <c r="C225" s="312"/>
      <c r="D225" s="258">
        <f>D226+D228+D230+D232+D234+D238+D242+D246+D250+D252+D255+D259+D261+D257+D263</f>
        <v>199418.5</v>
      </c>
      <c r="E225" s="258">
        <f>E226+E228+E230+E232+E234+E238+E242+E246+E250+E252+E255+E259+E261+E257+E263</f>
        <v>213715.3</v>
      </c>
      <c r="F225" s="258">
        <f>F226+F228+F230+F232+F234+F238+F242+F246+F250+F252+F255+F259+F261+F257+F263</f>
        <v>218113.99999999997</v>
      </c>
    </row>
    <row r="226" spans="1:6" ht="47.25">
      <c r="A226" s="180" t="s">
        <v>490</v>
      </c>
      <c r="B226" s="245" t="s">
        <v>521</v>
      </c>
      <c r="C226" s="245"/>
      <c r="D226" s="230">
        <f>D227</f>
        <v>8822.6</v>
      </c>
      <c r="E226" s="200">
        <f>E227</f>
        <v>9000</v>
      </c>
      <c r="F226" s="200">
        <f>F227</f>
        <v>9000</v>
      </c>
    </row>
    <row r="227" spans="1:6">
      <c r="A227" s="180" t="s">
        <v>479</v>
      </c>
      <c r="B227" s="245" t="s">
        <v>521</v>
      </c>
      <c r="C227" s="245" t="s">
        <v>480</v>
      </c>
      <c r="D227" s="230">
        <f>прил.4!G97</f>
        <v>8822.6</v>
      </c>
      <c r="E227" s="200">
        <f>прил.4!H97</f>
        <v>9000</v>
      </c>
      <c r="F227" s="200">
        <f>прил.4!I97</f>
        <v>9000</v>
      </c>
    </row>
    <row r="228" spans="1:6" ht="47.25">
      <c r="A228" s="180" t="s">
        <v>488</v>
      </c>
      <c r="B228" s="245" t="s">
        <v>504</v>
      </c>
      <c r="C228" s="245"/>
      <c r="D228" s="230">
        <f>D229</f>
        <v>192</v>
      </c>
      <c r="E228" s="200">
        <f>E229</f>
        <v>192</v>
      </c>
      <c r="F228" s="200">
        <f>F229</f>
        <v>192</v>
      </c>
    </row>
    <row r="229" spans="1:6">
      <c r="A229" s="180" t="s">
        <v>479</v>
      </c>
      <c r="B229" s="245" t="s">
        <v>504</v>
      </c>
      <c r="C229" s="178">
        <v>300</v>
      </c>
      <c r="D229" s="230">
        <f>прил.4!G44</f>
        <v>192</v>
      </c>
      <c r="E229" s="200">
        <f>прил.4!H44</f>
        <v>192</v>
      </c>
      <c r="F229" s="200">
        <f>прил.4!I44</f>
        <v>192</v>
      </c>
    </row>
    <row r="230" spans="1:6">
      <c r="A230" s="180" t="s">
        <v>526</v>
      </c>
      <c r="B230" s="245" t="s">
        <v>525</v>
      </c>
      <c r="C230" s="178"/>
      <c r="D230" s="230">
        <f>D231</f>
        <v>1525.9</v>
      </c>
      <c r="E230" s="200">
        <f>E231</f>
        <v>1275.9000000000001</v>
      </c>
      <c r="F230" s="200">
        <f>F231</f>
        <v>1275.9000000000001</v>
      </c>
    </row>
    <row r="231" spans="1:6">
      <c r="A231" s="180" t="s">
        <v>470</v>
      </c>
      <c r="B231" s="245" t="s">
        <v>525</v>
      </c>
      <c r="C231" s="178">
        <v>800</v>
      </c>
      <c r="D231" s="230">
        <f>прил.4!G46</f>
        <v>1525.9</v>
      </c>
      <c r="E231" s="200">
        <f>прил.4!H46</f>
        <v>1275.9000000000001</v>
      </c>
      <c r="F231" s="200">
        <f>прил.4!I46</f>
        <v>1275.9000000000001</v>
      </c>
    </row>
    <row r="232" spans="1:6" ht="78.75">
      <c r="A232" s="180" t="s">
        <v>491</v>
      </c>
      <c r="B232" s="245" t="s">
        <v>500</v>
      </c>
      <c r="C232" s="245"/>
      <c r="D232" s="230">
        <f>D233</f>
        <v>7826.6</v>
      </c>
      <c r="E232" s="200">
        <f>E233</f>
        <v>7925.9</v>
      </c>
      <c r="F232" s="200">
        <f>F233</f>
        <v>7925.9</v>
      </c>
    </row>
    <row r="233" spans="1:6" ht="63">
      <c r="A233" s="180" t="s">
        <v>482</v>
      </c>
      <c r="B233" s="245" t="s">
        <v>500</v>
      </c>
      <c r="C233" s="245" t="s">
        <v>483</v>
      </c>
      <c r="D233" s="230">
        <f>прил.4!G25</f>
        <v>7826.6</v>
      </c>
      <c r="E233" s="200">
        <f>прил.4!H25</f>
        <v>7925.9</v>
      </c>
      <c r="F233" s="200">
        <f>прил.4!I25</f>
        <v>7925.9</v>
      </c>
    </row>
    <row r="234" spans="1:6" ht="78.75">
      <c r="A234" s="180" t="s">
        <v>492</v>
      </c>
      <c r="B234" s="245" t="s">
        <v>501</v>
      </c>
      <c r="C234" s="245"/>
      <c r="D234" s="230">
        <f>D235+D236+D237</f>
        <v>130494.9</v>
      </c>
      <c r="E234" s="200">
        <f>E235+E236+E237</f>
        <v>137245.5</v>
      </c>
      <c r="F234" s="200">
        <f>F235+F236+F237</f>
        <v>137245.5</v>
      </c>
    </row>
    <row r="235" spans="1:6" ht="63">
      <c r="A235" s="180" t="s">
        <v>482</v>
      </c>
      <c r="B235" s="245" t="s">
        <v>501</v>
      </c>
      <c r="C235" s="245" t="s">
        <v>483</v>
      </c>
      <c r="D235" s="230">
        <f>прил.4!G27</f>
        <v>103803.4</v>
      </c>
      <c r="E235" s="200">
        <f>прил.4!H27</f>
        <v>110555.3</v>
      </c>
      <c r="F235" s="200">
        <f>прил.4!I27</f>
        <v>110555.3</v>
      </c>
    </row>
    <row r="236" spans="1:6" ht="31.5">
      <c r="A236" s="180" t="s">
        <v>630</v>
      </c>
      <c r="B236" s="245" t="s">
        <v>501</v>
      </c>
      <c r="C236" s="245" t="s">
        <v>477</v>
      </c>
      <c r="D236" s="230">
        <f>прил.4!G28</f>
        <v>23207.8</v>
      </c>
      <c r="E236" s="200">
        <f>прил.4!H28</f>
        <v>25090.2</v>
      </c>
      <c r="F236" s="200">
        <f>прил.4!I28</f>
        <v>25090.2</v>
      </c>
    </row>
    <row r="237" spans="1:6">
      <c r="A237" s="180" t="s">
        <v>470</v>
      </c>
      <c r="B237" s="245" t="s">
        <v>501</v>
      </c>
      <c r="C237" s="245" t="s">
        <v>471</v>
      </c>
      <c r="D237" s="230">
        <f>прил.4!G29+прил.4!G48</f>
        <v>3483.7</v>
      </c>
      <c r="E237" s="200">
        <f>прил.4!H29+прил.4!H48</f>
        <v>1600</v>
      </c>
      <c r="F237" s="200">
        <f>прил.4!I29+прил.4!I48</f>
        <v>1600</v>
      </c>
    </row>
    <row r="238" spans="1:6" ht="78.75">
      <c r="A238" s="180" t="s">
        <v>493</v>
      </c>
      <c r="B238" s="245" t="s">
        <v>582</v>
      </c>
      <c r="C238" s="245"/>
      <c r="D238" s="230">
        <f>SUM(D239:D241)</f>
        <v>6017.4000000000005</v>
      </c>
      <c r="E238" s="200">
        <f>SUM(E239:E241)</f>
        <v>6349.2000000000007</v>
      </c>
      <c r="F238" s="200">
        <f>SUM(F239:F241)</f>
        <v>6349.2000000000007</v>
      </c>
    </row>
    <row r="239" spans="1:6" ht="63">
      <c r="A239" s="180" t="s">
        <v>482</v>
      </c>
      <c r="B239" s="245" t="s">
        <v>523</v>
      </c>
      <c r="C239" s="245" t="s">
        <v>483</v>
      </c>
      <c r="D239" s="230">
        <f>прил.4!G122</f>
        <v>5443.7</v>
      </c>
      <c r="E239" s="200">
        <f>прил.4!H122</f>
        <v>5431.6</v>
      </c>
      <c r="F239" s="200">
        <f>прил.4!I122</f>
        <v>5431.6</v>
      </c>
    </row>
    <row r="240" spans="1:6" ht="31.5">
      <c r="A240" s="180" t="s">
        <v>630</v>
      </c>
      <c r="B240" s="245" t="s">
        <v>523</v>
      </c>
      <c r="C240" s="245" t="s">
        <v>477</v>
      </c>
      <c r="D240" s="230">
        <f>прил.4!G123</f>
        <v>553.6</v>
      </c>
      <c r="E240" s="200">
        <f>прил.4!H123</f>
        <v>898.6</v>
      </c>
      <c r="F240" s="200">
        <f>прил.4!I123</f>
        <v>898.6</v>
      </c>
    </row>
    <row r="241" spans="1:6">
      <c r="A241" s="180" t="s">
        <v>470</v>
      </c>
      <c r="B241" s="245" t="s">
        <v>523</v>
      </c>
      <c r="C241" s="245" t="s">
        <v>471</v>
      </c>
      <c r="D241" s="230">
        <f>прил.4!G124</f>
        <v>20.100000000000001</v>
      </c>
      <c r="E241" s="200">
        <f>прил.4!H124</f>
        <v>19</v>
      </c>
      <c r="F241" s="200">
        <f>прил.4!I124</f>
        <v>19</v>
      </c>
    </row>
    <row r="242" spans="1:6" ht="78.75">
      <c r="A242" s="180" t="s">
        <v>494</v>
      </c>
      <c r="B242" s="245" t="s">
        <v>583</v>
      </c>
      <c r="C242" s="245"/>
      <c r="D242" s="230">
        <f>SUM(D243:D245)</f>
        <v>6675.7</v>
      </c>
      <c r="E242" s="200">
        <f>SUM(E243:E245)</f>
        <v>6967.1</v>
      </c>
      <c r="F242" s="200">
        <f>SUM(F243:F245)</f>
        <v>6967.1</v>
      </c>
    </row>
    <row r="243" spans="1:6" ht="63">
      <c r="A243" s="180" t="s">
        <v>482</v>
      </c>
      <c r="B243" s="245" t="s">
        <v>527</v>
      </c>
      <c r="C243" s="245" t="s">
        <v>483</v>
      </c>
      <c r="D243" s="230">
        <f>прил.4!G197</f>
        <v>5919.8</v>
      </c>
      <c r="E243" s="200">
        <f>прил.4!H197</f>
        <v>6158.3</v>
      </c>
      <c r="F243" s="200">
        <f>прил.4!I197</f>
        <v>6158.3</v>
      </c>
    </row>
    <row r="244" spans="1:6" ht="31.5">
      <c r="A244" s="180" t="s">
        <v>630</v>
      </c>
      <c r="B244" s="245" t="s">
        <v>527</v>
      </c>
      <c r="C244" s="245" t="s">
        <v>477</v>
      </c>
      <c r="D244" s="230">
        <f>прил.4!G198</f>
        <v>755.4</v>
      </c>
      <c r="E244" s="200">
        <f>прил.4!H198</f>
        <v>793.8</v>
      </c>
      <c r="F244" s="200">
        <f>прил.4!I198</f>
        <v>793.8</v>
      </c>
    </row>
    <row r="245" spans="1:6">
      <c r="A245" s="180" t="s">
        <v>470</v>
      </c>
      <c r="B245" s="245" t="s">
        <v>527</v>
      </c>
      <c r="C245" s="245" t="s">
        <v>471</v>
      </c>
      <c r="D245" s="230">
        <f>прил.4!G199</f>
        <v>0.5</v>
      </c>
      <c r="E245" s="200">
        <f>прил.4!H199</f>
        <v>15</v>
      </c>
      <c r="F245" s="200">
        <f>прил.4!I199</f>
        <v>15</v>
      </c>
    </row>
    <row r="246" spans="1:6" ht="63">
      <c r="A246" s="180" t="s">
        <v>468</v>
      </c>
      <c r="B246" s="245" t="s">
        <v>524</v>
      </c>
      <c r="C246" s="245"/>
      <c r="D246" s="230">
        <f>SUM(D247:D249)</f>
        <v>13594.9</v>
      </c>
      <c r="E246" s="230">
        <f>SUM(E247:E249)</f>
        <v>13686.9</v>
      </c>
      <c r="F246" s="230">
        <f>SUM(F247:F249)</f>
        <v>13726.8</v>
      </c>
    </row>
    <row r="247" spans="1:6" ht="63">
      <c r="A247" s="180" t="s">
        <v>482</v>
      </c>
      <c r="B247" s="245" t="s">
        <v>524</v>
      </c>
      <c r="C247" s="245" t="s">
        <v>483</v>
      </c>
      <c r="D247" s="230">
        <f>прил.4!G190</f>
        <v>9503.7999999999993</v>
      </c>
      <c r="E247" s="200">
        <f>прил.4!H190</f>
        <v>10975</v>
      </c>
      <c r="F247" s="200">
        <f>прил.4!I190</f>
        <v>10975</v>
      </c>
    </row>
    <row r="248" spans="1:6" ht="31.5">
      <c r="A248" s="180" t="s">
        <v>630</v>
      </c>
      <c r="B248" s="245" t="s">
        <v>524</v>
      </c>
      <c r="C248" s="245" t="s">
        <v>477</v>
      </c>
      <c r="D248" s="230">
        <f>прил.4!G191</f>
        <v>4081.1</v>
      </c>
      <c r="E248" s="200">
        <f>прил.4!H191</f>
        <v>2711.9</v>
      </c>
      <c r="F248" s="200">
        <f>прил.4!I191</f>
        <v>2751.8</v>
      </c>
    </row>
    <row r="249" spans="1:6" s="129" customFormat="1">
      <c r="A249" s="180" t="s">
        <v>470</v>
      </c>
      <c r="B249" s="245" t="s">
        <v>524</v>
      </c>
      <c r="C249" s="245" t="s">
        <v>471</v>
      </c>
      <c r="D249" s="230">
        <f>прил.4!G192</f>
        <v>10</v>
      </c>
      <c r="E249" s="230">
        <f>прил.4!H192</f>
        <v>0</v>
      </c>
      <c r="F249" s="230">
        <f>прил.4!I192</f>
        <v>0</v>
      </c>
    </row>
    <row r="250" spans="1:6" ht="110.25">
      <c r="A250" s="180" t="s">
        <v>467</v>
      </c>
      <c r="B250" s="245" t="s">
        <v>544</v>
      </c>
      <c r="C250" s="245"/>
      <c r="D250" s="230">
        <f>D251</f>
        <v>14612</v>
      </c>
      <c r="E250" s="200">
        <f>E251</f>
        <v>20848</v>
      </c>
      <c r="F250" s="200">
        <f>F251</f>
        <v>24055.9</v>
      </c>
    </row>
    <row r="251" spans="1:6">
      <c r="A251" s="180" t="s">
        <v>479</v>
      </c>
      <c r="B251" s="245" t="s">
        <v>544</v>
      </c>
      <c r="C251" s="245" t="s">
        <v>480</v>
      </c>
      <c r="D251" s="230">
        <f>прил.4!G103</f>
        <v>14612</v>
      </c>
      <c r="E251" s="200">
        <f>прил.4!H103</f>
        <v>20848</v>
      </c>
      <c r="F251" s="200">
        <f>прил.4!I103</f>
        <v>24055.9</v>
      </c>
    </row>
    <row r="252" spans="1:6" ht="98.25" customHeight="1">
      <c r="A252" s="180" t="s">
        <v>486</v>
      </c>
      <c r="B252" s="245" t="s">
        <v>545</v>
      </c>
      <c r="C252" s="178"/>
      <c r="D252" s="230">
        <f>SUM(D253:D254)</f>
        <v>5249.7000000000007</v>
      </c>
      <c r="E252" s="230">
        <f>SUM(E253:E254)</f>
        <v>5280</v>
      </c>
      <c r="F252" s="230">
        <f>SUM(F253:F254)</f>
        <v>5832.5</v>
      </c>
    </row>
    <row r="253" spans="1:6" ht="63">
      <c r="A253" s="180" t="s">
        <v>482</v>
      </c>
      <c r="B253" s="245" t="s">
        <v>545</v>
      </c>
      <c r="C253" s="245" t="s">
        <v>483</v>
      </c>
      <c r="D253" s="230">
        <f>прил.4!G110</f>
        <v>5102.6000000000004</v>
      </c>
      <c r="E253" s="200">
        <f>прил.4!H110</f>
        <v>5280</v>
      </c>
      <c r="F253" s="200">
        <f>прил.4!I110</f>
        <v>5832.5</v>
      </c>
    </row>
    <row r="254" spans="1:6" ht="31.5">
      <c r="A254" s="180" t="s">
        <v>630</v>
      </c>
      <c r="B254" s="245" t="s">
        <v>545</v>
      </c>
      <c r="C254" s="245" t="s">
        <v>477</v>
      </c>
      <c r="D254" s="230">
        <f>прил.4!G111</f>
        <v>147.1</v>
      </c>
      <c r="E254" s="230">
        <f>прил.4!H111</f>
        <v>0</v>
      </c>
      <c r="F254" s="230">
        <f>прил.4!I111</f>
        <v>0</v>
      </c>
    </row>
    <row r="255" spans="1:6" ht="96" customHeight="1">
      <c r="A255" s="180" t="s">
        <v>487</v>
      </c>
      <c r="B255" s="245" t="s">
        <v>522</v>
      </c>
      <c r="C255" s="178"/>
      <c r="D255" s="230">
        <f>D256</f>
        <v>2150.8000000000002</v>
      </c>
      <c r="E255" s="200">
        <f>E256</f>
        <v>2150.8000000000002</v>
      </c>
      <c r="F255" s="200">
        <f>F256</f>
        <v>2331.3000000000002</v>
      </c>
    </row>
    <row r="256" spans="1:6" ht="63">
      <c r="A256" s="180" t="s">
        <v>482</v>
      </c>
      <c r="B256" s="245" t="s">
        <v>522</v>
      </c>
      <c r="C256" s="245" t="s">
        <v>483</v>
      </c>
      <c r="D256" s="230">
        <f>прил.4!G113</f>
        <v>2150.8000000000002</v>
      </c>
      <c r="E256" s="200">
        <f>прил.4!H113</f>
        <v>2150.8000000000002</v>
      </c>
      <c r="F256" s="200">
        <f>прил.4!I113</f>
        <v>2331.3000000000002</v>
      </c>
    </row>
    <row r="257" spans="1:6" s="129" customFormat="1" ht="31.5">
      <c r="A257" s="180" t="s">
        <v>644</v>
      </c>
      <c r="B257" s="245" t="s">
        <v>643</v>
      </c>
      <c r="C257" s="245"/>
      <c r="D257" s="230">
        <f>D258</f>
        <v>2193</v>
      </c>
      <c r="E257" s="230">
        <f>E258</f>
        <v>2710.2</v>
      </c>
      <c r="F257" s="230">
        <f>F258</f>
        <v>3127.1</v>
      </c>
    </row>
    <row r="258" spans="1:6" s="129" customFormat="1">
      <c r="A258" s="180" t="s">
        <v>479</v>
      </c>
      <c r="B258" s="245" t="s">
        <v>643</v>
      </c>
      <c r="C258" s="245" t="s">
        <v>480</v>
      </c>
      <c r="D258" s="230">
        <f>прил.4!G105</f>
        <v>2193</v>
      </c>
      <c r="E258" s="230">
        <f>прил.4!H105</f>
        <v>2710.2</v>
      </c>
      <c r="F258" s="230">
        <f>прил.4!I105</f>
        <v>3127.1</v>
      </c>
    </row>
    <row r="259" spans="1:6" ht="110.25">
      <c r="A259" s="252" t="s">
        <v>466</v>
      </c>
      <c r="B259" s="245" t="s">
        <v>543</v>
      </c>
      <c r="C259" s="245"/>
      <c r="D259" s="230">
        <f>D260</f>
        <v>60</v>
      </c>
      <c r="E259" s="200">
        <f>E260</f>
        <v>52</v>
      </c>
      <c r="F259" s="200">
        <f>F260</f>
        <v>52</v>
      </c>
    </row>
    <row r="260" spans="1:6">
      <c r="A260" s="180" t="s">
        <v>479</v>
      </c>
      <c r="B260" s="245" t="s">
        <v>543</v>
      </c>
      <c r="C260" s="245" t="s">
        <v>480</v>
      </c>
      <c r="D260" s="230">
        <f>прил.4!G107</f>
        <v>60</v>
      </c>
      <c r="E260" s="200">
        <f>прил.4!H107</f>
        <v>52</v>
      </c>
      <c r="F260" s="200">
        <f>прил.4!I107</f>
        <v>52</v>
      </c>
    </row>
    <row r="261" spans="1:6" ht="189">
      <c r="A261" s="180" t="s">
        <v>629</v>
      </c>
      <c r="B261" s="243" t="s">
        <v>628</v>
      </c>
      <c r="C261" s="178"/>
      <c r="D261" s="230">
        <f>D262</f>
        <v>3</v>
      </c>
      <c r="E261" s="200">
        <f>E262</f>
        <v>3</v>
      </c>
      <c r="F261" s="200">
        <f>F262</f>
        <v>3</v>
      </c>
    </row>
    <row r="262" spans="1:6" ht="31.5">
      <c r="A262" s="180" t="s">
        <v>630</v>
      </c>
      <c r="B262" s="243" t="s">
        <v>628</v>
      </c>
      <c r="C262" s="245" t="s">
        <v>477</v>
      </c>
      <c r="D262" s="230">
        <f>прил.4!G50</f>
        <v>3</v>
      </c>
      <c r="E262" s="200">
        <f>прил.4!H50</f>
        <v>3</v>
      </c>
      <c r="F262" s="200">
        <f>прил.4!I50</f>
        <v>3</v>
      </c>
    </row>
    <row r="263" spans="1:6" ht="65.25" customHeight="1">
      <c r="A263" s="180" t="s">
        <v>901</v>
      </c>
      <c r="B263" s="243" t="s">
        <v>900</v>
      </c>
      <c r="C263" s="245"/>
      <c r="D263" s="230">
        <f>D264</f>
        <v>0</v>
      </c>
      <c r="E263" s="200">
        <f>E264</f>
        <v>28.8</v>
      </c>
      <c r="F263" s="200">
        <f>F264</f>
        <v>29.8</v>
      </c>
    </row>
    <row r="264" spans="1:6" ht="31.5">
      <c r="A264" s="180" t="s">
        <v>630</v>
      </c>
      <c r="B264" s="243" t="s">
        <v>900</v>
      </c>
      <c r="C264" s="245" t="s">
        <v>477</v>
      </c>
      <c r="D264" s="230">
        <f>прил.4!G52</f>
        <v>0</v>
      </c>
      <c r="E264" s="200">
        <f>прил.4!H52</f>
        <v>28.8</v>
      </c>
      <c r="F264" s="200">
        <f>прил.4!I52</f>
        <v>29.8</v>
      </c>
    </row>
    <row r="265" spans="1:6">
      <c r="A265" s="271"/>
      <c r="B265" s="272"/>
      <c r="C265" s="273"/>
      <c r="D265" s="273"/>
      <c r="E265" s="274"/>
      <c r="F265" s="274"/>
    </row>
    <row r="266" spans="1:6">
      <c r="A266" s="271"/>
      <c r="B266" s="272"/>
      <c r="C266" s="273"/>
      <c r="D266" s="273"/>
      <c r="E266" s="274"/>
      <c r="F266" s="274"/>
    </row>
    <row r="267" spans="1:6" s="129" customFormat="1">
      <c r="A267" s="129" t="s">
        <v>1149</v>
      </c>
      <c r="B267" s="63"/>
      <c r="C267" s="63"/>
      <c r="D267" s="63"/>
      <c r="E267" s="63"/>
      <c r="F267" s="63"/>
    </row>
    <row r="268" spans="1:6" s="129" customFormat="1">
      <c r="A268" s="129" t="s">
        <v>1139</v>
      </c>
      <c r="B268" s="63"/>
      <c r="C268" s="63"/>
      <c r="D268" s="63"/>
      <c r="E268" s="63"/>
      <c r="F268" s="63"/>
    </row>
    <row r="269" spans="1:6">
      <c r="A269" s="336" t="s">
        <v>1148</v>
      </c>
      <c r="B269" s="336"/>
      <c r="C269" s="336"/>
      <c r="D269" s="336"/>
      <c r="E269" s="336"/>
      <c r="F269" s="336"/>
    </row>
  </sheetData>
  <autoFilter ref="A18:F264"/>
  <mergeCells count="6">
    <mergeCell ref="A269:F269"/>
    <mergeCell ref="A12:F12"/>
    <mergeCell ref="A13:F13"/>
    <mergeCell ref="A14:F14"/>
    <mergeCell ref="A10:F10"/>
    <mergeCell ref="A11:F11"/>
  </mergeCells>
  <pageMargins left="0.59055118110236227" right="0.59055118110236227" top="1.1811023622047245" bottom="0.59055118110236227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270"/>
  <sheetViews>
    <sheetView topLeftCell="A10" workbookViewId="0">
      <selection activeCell="A16" sqref="A16"/>
    </sheetView>
  </sheetViews>
  <sheetFormatPr defaultRowHeight="12.75"/>
  <cols>
    <col min="1" max="1" width="46.140625" style="113" customWidth="1"/>
    <col min="2" max="2" width="5.7109375" style="114" customWidth="1"/>
    <col min="3" max="3" width="7.140625" style="114" customWidth="1"/>
    <col min="4" max="4" width="9.28515625" style="115" customWidth="1"/>
    <col min="5" max="5" width="7.7109375" style="117" customWidth="1"/>
    <col min="6" max="6" width="10.7109375" style="88" customWidth="1"/>
    <col min="7" max="7" width="11.7109375" style="99" customWidth="1"/>
    <col min="8" max="8" width="16.5703125" style="14" customWidth="1"/>
    <col min="9" max="9" width="13.7109375" style="14" customWidth="1"/>
    <col min="10" max="16384" width="9.140625" style="14"/>
  </cols>
  <sheetData>
    <row r="1" spans="1:7" ht="15.75">
      <c r="A1" s="157"/>
      <c r="B1" s="157"/>
      <c r="C1" s="157"/>
      <c r="D1" s="157"/>
      <c r="E1" s="340" t="s">
        <v>408</v>
      </c>
      <c r="F1" s="340"/>
      <c r="G1" s="340"/>
    </row>
    <row r="2" spans="1:7" ht="15.75">
      <c r="A2" s="340" t="s">
        <v>433</v>
      </c>
      <c r="B2" s="342"/>
      <c r="C2" s="342"/>
      <c r="D2" s="342"/>
      <c r="E2" s="342"/>
      <c r="F2" s="342"/>
      <c r="G2" s="342"/>
    </row>
    <row r="3" spans="1:7" ht="15.75">
      <c r="A3" s="156"/>
      <c r="B3" s="340" t="s">
        <v>434</v>
      </c>
      <c r="C3" s="342"/>
      <c r="D3" s="342"/>
      <c r="E3" s="342"/>
      <c r="F3" s="342"/>
      <c r="G3" s="342"/>
    </row>
    <row r="4" spans="1:7" ht="15.75">
      <c r="A4" s="156"/>
      <c r="B4" s="343" t="s">
        <v>435</v>
      </c>
      <c r="C4" s="344"/>
      <c r="D4" s="344"/>
      <c r="E4" s="344"/>
      <c r="F4" s="344"/>
      <c r="G4" s="344"/>
    </row>
    <row r="5" spans="1:7" ht="15.75">
      <c r="A5" s="156"/>
      <c r="B5" s="340" t="s">
        <v>450</v>
      </c>
      <c r="C5" s="345"/>
      <c r="D5" s="345"/>
      <c r="E5" s="345"/>
      <c r="F5" s="345"/>
      <c r="G5" s="345"/>
    </row>
    <row r="6" spans="1:7" ht="15.75">
      <c r="A6" s="155"/>
      <c r="B6" s="155"/>
      <c r="C6" s="155"/>
      <c r="D6" s="343" t="s">
        <v>446</v>
      </c>
      <c r="E6" s="343"/>
      <c r="F6" s="343"/>
      <c r="G6" s="343"/>
    </row>
    <row r="7" spans="1:7">
      <c r="A7" s="351" t="s">
        <v>1</v>
      </c>
      <c r="B7" s="351"/>
      <c r="C7" s="351"/>
      <c r="D7" s="351"/>
      <c r="E7" s="351"/>
      <c r="F7" s="351"/>
    </row>
    <row r="8" spans="1:7" ht="12.75" customHeight="1">
      <c r="A8" s="350" t="s">
        <v>407</v>
      </c>
      <c r="B8" s="350"/>
      <c r="C8" s="350"/>
      <c r="D8" s="350"/>
      <c r="E8" s="350"/>
      <c r="F8" s="350"/>
    </row>
    <row r="9" spans="1:7">
      <c r="A9" s="350"/>
      <c r="B9" s="350"/>
      <c r="C9" s="350"/>
      <c r="D9" s="350"/>
      <c r="E9" s="350"/>
      <c r="F9" s="350"/>
    </row>
    <row r="10" spans="1:7">
      <c r="A10" s="158"/>
      <c r="B10" s="158"/>
      <c r="C10" s="158"/>
      <c r="D10" s="75"/>
      <c r="E10" s="348" t="s">
        <v>0</v>
      </c>
      <c r="F10" s="348"/>
      <c r="G10" s="348"/>
    </row>
    <row r="11" spans="1:7" ht="12.75" customHeight="1">
      <c r="A11" s="353" t="s">
        <v>2</v>
      </c>
      <c r="B11" s="349" t="s">
        <v>3</v>
      </c>
      <c r="C11" s="349"/>
      <c r="D11" s="349"/>
      <c r="E11" s="349"/>
      <c r="F11" s="352" t="s">
        <v>333</v>
      </c>
      <c r="G11" s="355" t="s">
        <v>465</v>
      </c>
    </row>
    <row r="12" spans="1:7">
      <c r="A12" s="353"/>
      <c r="B12" s="354" t="s">
        <v>5</v>
      </c>
      <c r="C12" s="349" t="s">
        <v>201</v>
      </c>
      <c r="D12" s="349" t="s">
        <v>7</v>
      </c>
      <c r="E12" s="349" t="s">
        <v>8</v>
      </c>
      <c r="F12" s="352"/>
      <c r="G12" s="355"/>
    </row>
    <row r="13" spans="1:7">
      <c r="A13" s="353"/>
      <c r="B13" s="354"/>
      <c r="C13" s="349"/>
      <c r="D13" s="349"/>
      <c r="E13" s="349"/>
      <c r="F13" s="352"/>
      <c r="G13" s="355"/>
    </row>
    <row r="14" spans="1:7">
      <c r="A14" s="118">
        <v>1</v>
      </c>
      <c r="B14" s="119">
        <v>2</v>
      </c>
      <c r="C14" s="119">
        <v>3</v>
      </c>
      <c r="D14" s="119">
        <v>4</v>
      </c>
      <c r="E14" s="119">
        <v>5</v>
      </c>
      <c r="F14" s="120">
        <v>6</v>
      </c>
      <c r="G14" s="131">
        <v>7</v>
      </c>
    </row>
    <row r="15" spans="1:7" ht="20.25" customHeight="1">
      <c r="A15" s="76" t="s">
        <v>9</v>
      </c>
      <c r="B15" s="77" t="s">
        <v>10</v>
      </c>
      <c r="C15" s="77"/>
      <c r="D15" s="77"/>
      <c r="E15" s="77"/>
      <c r="F15" s="74" t="e">
        <f>F16+F25+F52+F56+F45+F36+316542.7-2354.4</f>
        <v>#REF!</v>
      </c>
      <c r="G15" s="85" t="e">
        <f>G16+G25+G52+G56+G45+G36+202771.7</f>
        <v>#REF!</v>
      </c>
    </row>
    <row r="16" spans="1:7" ht="51" customHeight="1">
      <c r="A16" s="76" t="s">
        <v>11</v>
      </c>
      <c r="B16" s="77" t="s">
        <v>10</v>
      </c>
      <c r="C16" s="77" t="s">
        <v>12</v>
      </c>
      <c r="D16" s="77"/>
      <c r="E16" s="77"/>
      <c r="F16" s="74" t="e">
        <f>F17</f>
        <v>#REF!</v>
      </c>
      <c r="G16" s="85" t="e">
        <f>F16*105%</f>
        <v>#REF!</v>
      </c>
    </row>
    <row r="17" spans="1:8" ht="51">
      <c r="A17" s="78" t="s">
        <v>13</v>
      </c>
      <c r="B17" s="43" t="s">
        <v>10</v>
      </c>
      <c r="C17" s="43" t="s">
        <v>12</v>
      </c>
      <c r="D17" s="43" t="s">
        <v>14</v>
      </c>
      <c r="E17" s="77"/>
      <c r="F17" s="44" t="e">
        <f>F18</f>
        <v>#REF!</v>
      </c>
      <c r="G17" s="84" t="e">
        <f>F17*105%</f>
        <v>#REF!</v>
      </c>
    </row>
    <row r="18" spans="1:8">
      <c r="A18" s="48" t="s">
        <v>15</v>
      </c>
      <c r="B18" s="43" t="s">
        <v>10</v>
      </c>
      <c r="C18" s="43" t="s">
        <v>12</v>
      </c>
      <c r="D18" s="43" t="s">
        <v>16</v>
      </c>
      <c r="E18" s="77"/>
      <c r="F18" s="44" t="e">
        <f>F19</f>
        <v>#REF!</v>
      </c>
      <c r="G18" s="84" t="e">
        <f>F18*105%</f>
        <v>#REF!</v>
      </c>
    </row>
    <row r="19" spans="1:8">
      <c r="A19" s="48" t="s">
        <v>15</v>
      </c>
      <c r="B19" s="43" t="s">
        <v>10</v>
      </c>
      <c r="C19" s="43" t="s">
        <v>12</v>
      </c>
      <c r="D19" s="43" t="s">
        <v>17</v>
      </c>
      <c r="E19" s="43"/>
      <c r="F19" s="44" t="e">
        <f>F20+F21+F22+F23+F24</f>
        <v>#REF!</v>
      </c>
      <c r="G19" s="84" t="e">
        <f>F19*105%</f>
        <v>#REF!</v>
      </c>
    </row>
    <row r="20" spans="1:8" ht="25.5">
      <c r="A20" s="78" t="s">
        <v>169</v>
      </c>
      <c r="B20" s="43" t="s">
        <v>10</v>
      </c>
      <c r="C20" s="43" t="s">
        <v>12</v>
      </c>
      <c r="D20" s="43" t="s">
        <v>17</v>
      </c>
      <c r="E20" s="43" t="s">
        <v>167</v>
      </c>
      <c r="F20" s="44" t="e">
        <f>#REF!*105.5%</f>
        <v>#REF!</v>
      </c>
      <c r="G20" s="84">
        <f>'Ведомственная 2015-2016'!H130</f>
        <v>6854.3418574999987</v>
      </c>
    </row>
    <row r="21" spans="1:8" ht="38.25">
      <c r="A21" s="78" t="s">
        <v>223</v>
      </c>
      <c r="B21" s="43" t="s">
        <v>10</v>
      </c>
      <c r="C21" s="43" t="s">
        <v>12</v>
      </c>
      <c r="D21" s="43" t="s">
        <v>17</v>
      </c>
      <c r="E21" s="43" t="s">
        <v>168</v>
      </c>
      <c r="F21" s="44" t="e">
        <f>#REF!*105.5%</f>
        <v>#REF!</v>
      </c>
      <c r="G21" s="84">
        <f>'Ведомственная 2015-2016'!H132</f>
        <v>16.695374999999999</v>
      </c>
    </row>
    <row r="22" spans="1:8" ht="32.25" customHeight="1">
      <c r="A22" s="78" t="s">
        <v>170</v>
      </c>
      <c r="B22" s="43" t="s">
        <v>10</v>
      </c>
      <c r="C22" s="43" t="s">
        <v>12</v>
      </c>
      <c r="D22" s="43" t="s">
        <v>17</v>
      </c>
      <c r="E22" s="43" t="s">
        <v>168</v>
      </c>
      <c r="F22" s="44" t="e">
        <f>#REF!*105.5%</f>
        <v>#REF!</v>
      </c>
      <c r="G22" s="84" t="e">
        <f>'Ведомственная 2015-2016'!H133</f>
        <v>#REF!</v>
      </c>
    </row>
    <row r="23" spans="1:8" ht="25.5">
      <c r="A23" s="78" t="s">
        <v>372</v>
      </c>
      <c r="B23" s="43" t="s">
        <v>10</v>
      </c>
      <c r="C23" s="43" t="s">
        <v>12</v>
      </c>
      <c r="D23" s="43" t="s">
        <v>17</v>
      </c>
      <c r="E23" s="43" t="s">
        <v>189</v>
      </c>
      <c r="F23" s="44" t="e">
        <f>#REF!*105.5%</f>
        <v>#REF!</v>
      </c>
      <c r="G23" s="84">
        <f>'Ведомственная 2015-2016'!H134</f>
        <v>0</v>
      </c>
    </row>
    <row r="24" spans="1:8" ht="21" customHeight="1">
      <c r="A24" s="78" t="s">
        <v>206</v>
      </c>
      <c r="B24" s="43" t="s">
        <v>10</v>
      </c>
      <c r="C24" s="43" t="s">
        <v>12</v>
      </c>
      <c r="D24" s="43" t="s">
        <v>17</v>
      </c>
      <c r="E24" s="43" t="s">
        <v>192</v>
      </c>
      <c r="F24" s="44" t="e">
        <f>#REF!*105.5%</f>
        <v>#REF!</v>
      </c>
      <c r="G24" s="84">
        <f>'Ведомственная 2015-2016'!H135</f>
        <v>0</v>
      </c>
    </row>
    <row r="25" spans="1:8" ht="54" customHeight="1">
      <c r="A25" s="76" t="s">
        <v>18</v>
      </c>
      <c r="B25" s="77" t="s">
        <v>10</v>
      </c>
      <c r="C25" s="77" t="s">
        <v>19</v>
      </c>
      <c r="D25" s="43"/>
      <c r="E25" s="77"/>
      <c r="F25" s="74" t="e">
        <f>F26+F34</f>
        <v>#REF!</v>
      </c>
      <c r="G25" s="74" t="e">
        <f>G26+G34</f>
        <v>#REF!</v>
      </c>
      <c r="H25" s="26"/>
    </row>
    <row r="26" spans="1:8" ht="51">
      <c r="A26" s="78" t="s">
        <v>13</v>
      </c>
      <c r="B26" s="43" t="s">
        <v>10</v>
      </c>
      <c r="C26" s="43" t="s">
        <v>19</v>
      </c>
      <c r="D26" s="43" t="s">
        <v>14</v>
      </c>
      <c r="E26" s="43"/>
      <c r="F26" s="44" t="e">
        <f>F27+F34</f>
        <v>#REF!</v>
      </c>
      <c r="G26" s="84" t="e">
        <f>G27+G34</f>
        <v>#REF!</v>
      </c>
      <c r="H26" s="26"/>
    </row>
    <row r="27" spans="1:8">
      <c r="A27" s="48" t="s">
        <v>15</v>
      </c>
      <c r="B27" s="43" t="s">
        <v>10</v>
      </c>
      <c r="C27" s="43" t="s">
        <v>19</v>
      </c>
      <c r="D27" s="43" t="s">
        <v>16</v>
      </c>
      <c r="E27" s="43"/>
      <c r="F27" s="44" t="e">
        <f>F28</f>
        <v>#REF!</v>
      </c>
      <c r="G27" s="84" t="e">
        <f>F27*105%</f>
        <v>#REF!</v>
      </c>
    </row>
    <row r="28" spans="1:8">
      <c r="A28" s="48" t="s">
        <v>15</v>
      </c>
      <c r="B28" s="43" t="s">
        <v>10</v>
      </c>
      <c r="C28" s="43" t="s">
        <v>19</v>
      </c>
      <c r="D28" s="43" t="s">
        <v>17</v>
      </c>
      <c r="E28" s="43"/>
      <c r="F28" s="44" t="e">
        <f>F29+F30+F31+F32+F33</f>
        <v>#REF!</v>
      </c>
      <c r="G28" s="84" t="e">
        <f>F28*105%</f>
        <v>#REF!</v>
      </c>
    </row>
    <row r="29" spans="1:8" ht="25.5">
      <c r="A29" s="78" t="s">
        <v>169</v>
      </c>
      <c r="B29" s="43" t="s">
        <v>10</v>
      </c>
      <c r="C29" s="43" t="s">
        <v>19</v>
      </c>
      <c r="D29" s="43" t="s">
        <v>17</v>
      </c>
      <c r="E29" s="43" t="s">
        <v>167</v>
      </c>
      <c r="F29" s="44">
        <f>'Ведомственная 2015-2016'!G19</f>
        <v>116635.84149999999</v>
      </c>
      <c r="G29" s="84">
        <f t="shared" ref="G29:G36" si="0">F29*105.5%</f>
        <v>123050.81278249998</v>
      </c>
    </row>
    <row r="30" spans="1:8" ht="25.5">
      <c r="A30" s="78" t="s">
        <v>169</v>
      </c>
      <c r="B30" s="43" t="s">
        <v>10</v>
      </c>
      <c r="C30" s="43" t="s">
        <v>19</v>
      </c>
      <c r="D30" s="43" t="s">
        <v>17</v>
      </c>
      <c r="E30" s="43" t="s">
        <v>203</v>
      </c>
      <c r="F30" s="44" t="e">
        <f>'Ведомственная 2015-2016'!G20</f>
        <v>#REF!</v>
      </c>
      <c r="G30" s="84" t="e">
        <f t="shared" si="0"/>
        <v>#REF!</v>
      </c>
    </row>
    <row r="31" spans="1:8" ht="38.25">
      <c r="A31" s="78" t="s">
        <v>170</v>
      </c>
      <c r="B31" s="43" t="s">
        <v>10</v>
      </c>
      <c r="C31" s="43" t="s">
        <v>19</v>
      </c>
      <c r="D31" s="43" t="s">
        <v>17</v>
      </c>
      <c r="E31" s="43" t="s">
        <v>168</v>
      </c>
      <c r="F31" s="44">
        <f>'Ведомственная 2015-2016'!G21</f>
        <v>62614.8</v>
      </c>
      <c r="G31" s="84">
        <f t="shared" si="0"/>
        <v>66058.614000000001</v>
      </c>
    </row>
    <row r="32" spans="1:8" ht="25.5">
      <c r="A32" s="78" t="s">
        <v>372</v>
      </c>
      <c r="B32" s="43" t="s">
        <v>10</v>
      </c>
      <c r="C32" s="43" t="s">
        <v>19</v>
      </c>
      <c r="D32" s="43" t="s">
        <v>17</v>
      </c>
      <c r="E32" s="43" t="s">
        <v>189</v>
      </c>
      <c r="F32" s="44">
        <f>'Ведомственная 2015-2016'!G22</f>
        <v>1688</v>
      </c>
      <c r="G32" s="84">
        <f t="shared" si="0"/>
        <v>1780.84</v>
      </c>
    </row>
    <row r="33" spans="1:7" ht="20.25" customHeight="1">
      <c r="A33" s="78" t="s">
        <v>206</v>
      </c>
      <c r="B33" s="43" t="s">
        <v>10</v>
      </c>
      <c r="C33" s="43" t="s">
        <v>19</v>
      </c>
      <c r="D33" s="43" t="s">
        <v>17</v>
      </c>
      <c r="E33" s="43" t="s">
        <v>192</v>
      </c>
      <c r="F33" s="44" t="e">
        <f>'Ведомственная 2015-2016'!G23</f>
        <v>#REF!</v>
      </c>
      <c r="G33" s="84" t="e">
        <f t="shared" si="0"/>
        <v>#REF!</v>
      </c>
    </row>
    <row r="34" spans="1:7" ht="38.25">
      <c r="A34" s="48" t="s">
        <v>20</v>
      </c>
      <c r="B34" s="43" t="s">
        <v>10</v>
      </c>
      <c r="C34" s="43" t="s">
        <v>19</v>
      </c>
      <c r="D34" s="43" t="s">
        <v>21</v>
      </c>
      <c r="E34" s="43"/>
      <c r="F34" s="44">
        <f>F35</f>
        <v>8361.8244999999988</v>
      </c>
      <c r="G34" s="84">
        <f t="shared" si="0"/>
        <v>8821.7248474999978</v>
      </c>
    </row>
    <row r="35" spans="1:7" ht="25.5">
      <c r="A35" s="78" t="s">
        <v>169</v>
      </c>
      <c r="B35" s="43" t="s">
        <v>10</v>
      </c>
      <c r="C35" s="43" t="s">
        <v>19</v>
      </c>
      <c r="D35" s="43" t="s">
        <v>21</v>
      </c>
      <c r="E35" s="43" t="s">
        <v>167</v>
      </c>
      <c r="F35" s="44">
        <f>'Ведомственная 2015-2016'!G25</f>
        <v>8361.8244999999988</v>
      </c>
      <c r="G35" s="84">
        <f t="shared" si="0"/>
        <v>8821.7248474999978</v>
      </c>
    </row>
    <row r="36" spans="1:7" s="23" customFormat="1" ht="40.5" customHeight="1">
      <c r="A36" s="76" t="s">
        <v>133</v>
      </c>
      <c r="B36" s="77" t="s">
        <v>10</v>
      </c>
      <c r="C36" s="77" t="s">
        <v>89</v>
      </c>
      <c r="D36" s="77"/>
      <c r="E36" s="77"/>
      <c r="F36" s="74">
        <v>33792.6</v>
      </c>
      <c r="G36" s="85">
        <f t="shared" si="0"/>
        <v>35651.192999999999</v>
      </c>
    </row>
    <row r="37" spans="1:7" ht="51">
      <c r="A37" s="78" t="s">
        <v>13</v>
      </c>
      <c r="B37" s="43" t="s">
        <v>10</v>
      </c>
      <c r="C37" s="43" t="s">
        <v>89</v>
      </c>
      <c r="D37" s="43" t="s">
        <v>14</v>
      </c>
      <c r="E37" s="43"/>
      <c r="F37" s="44" t="e">
        <f>F38</f>
        <v>#REF!</v>
      </c>
      <c r="G37" s="84" t="e">
        <f>G38</f>
        <v>#REF!</v>
      </c>
    </row>
    <row r="38" spans="1:7" ht="19.5" customHeight="1">
      <c r="A38" s="48" t="s">
        <v>15</v>
      </c>
      <c r="B38" s="43" t="s">
        <v>10</v>
      </c>
      <c r="C38" s="43" t="s">
        <v>89</v>
      </c>
      <c r="D38" s="43" t="s">
        <v>16</v>
      </c>
      <c r="E38" s="43"/>
      <c r="F38" s="44" t="e">
        <f>F39</f>
        <v>#REF!</v>
      </c>
      <c r="G38" s="84" t="e">
        <f>F38*105%</f>
        <v>#REF!</v>
      </c>
    </row>
    <row r="39" spans="1:7" ht="21.75" customHeight="1">
      <c r="A39" s="48" t="s">
        <v>15</v>
      </c>
      <c r="B39" s="43" t="s">
        <v>10</v>
      </c>
      <c r="C39" s="43" t="s">
        <v>89</v>
      </c>
      <c r="D39" s="43" t="s">
        <v>17</v>
      </c>
      <c r="E39" s="43"/>
      <c r="F39" s="44" t="e">
        <f>F40+F41+F42+F43+F44</f>
        <v>#REF!</v>
      </c>
      <c r="G39" s="44" t="e">
        <f>G40+G41+G42+G43+G44</f>
        <v>#REF!</v>
      </c>
    </row>
    <row r="40" spans="1:7" ht="25.5">
      <c r="A40" s="78" t="s">
        <v>169</v>
      </c>
      <c r="B40" s="43" t="s">
        <v>10</v>
      </c>
      <c r="C40" s="43" t="s">
        <v>89</v>
      </c>
      <c r="D40" s="43" t="s">
        <v>17</v>
      </c>
      <c r="E40" s="43" t="s">
        <v>167</v>
      </c>
      <c r="F40" s="44">
        <f>'Ведомственная 2015-2016'!G112+'Ведомственная 2015-2016'!G294</f>
        <v>18881.756999999998</v>
      </c>
      <c r="G40" s="84">
        <f>F40*105.5%</f>
        <v>19920.253634999997</v>
      </c>
    </row>
    <row r="41" spans="1:7" ht="25.5">
      <c r="A41" s="78" t="s">
        <v>169</v>
      </c>
      <c r="B41" s="43" t="s">
        <v>10</v>
      </c>
      <c r="C41" s="43" t="s">
        <v>89</v>
      </c>
      <c r="D41" s="43" t="s">
        <v>17</v>
      </c>
      <c r="E41" s="43" t="s">
        <v>203</v>
      </c>
      <c r="F41" s="44">
        <v>417.2</v>
      </c>
      <c r="G41" s="84">
        <f t="shared" ref="G41:G51" si="1">F41*105.5%</f>
        <v>440.14599999999996</v>
      </c>
    </row>
    <row r="42" spans="1:7" ht="38.25">
      <c r="A42" s="78" t="s">
        <v>170</v>
      </c>
      <c r="B42" s="43" t="s">
        <v>10</v>
      </c>
      <c r="C42" s="43" t="s">
        <v>89</v>
      </c>
      <c r="D42" s="43" t="s">
        <v>17</v>
      </c>
      <c r="E42" s="43" t="s">
        <v>168</v>
      </c>
      <c r="F42" s="44">
        <f>'Ведомственная 2015-2016'!G296+'Ведомственная 2015-2016'!G114</f>
        <v>3077.3230000000003</v>
      </c>
      <c r="G42" s="84">
        <f t="shared" si="1"/>
        <v>3246.575765</v>
      </c>
    </row>
    <row r="43" spans="1:7" ht="25.5">
      <c r="A43" s="78" t="s">
        <v>372</v>
      </c>
      <c r="B43" s="43" t="s">
        <v>10</v>
      </c>
      <c r="C43" s="43" t="s">
        <v>89</v>
      </c>
      <c r="D43" s="43" t="s">
        <v>17</v>
      </c>
      <c r="E43" s="43" t="s">
        <v>189</v>
      </c>
      <c r="F43" s="44">
        <f>'Ведомственная 2015-2016'!G115+'Ведомственная 2015-2016'!G297</f>
        <v>24.344999999999999</v>
      </c>
      <c r="G43" s="84">
        <f>F43</f>
        <v>24.344999999999999</v>
      </c>
    </row>
    <row r="44" spans="1:7" ht="18" customHeight="1">
      <c r="A44" s="78" t="s">
        <v>206</v>
      </c>
      <c r="B44" s="43" t="s">
        <v>10</v>
      </c>
      <c r="C44" s="43" t="s">
        <v>89</v>
      </c>
      <c r="D44" s="43" t="s">
        <v>17</v>
      </c>
      <c r="E44" s="43" t="s">
        <v>192</v>
      </c>
      <c r="F44" s="44" t="e">
        <f>'Ведомственная 2015-2016'!G298+'Ведомственная 2015-2016'!G116</f>
        <v>#REF!</v>
      </c>
      <c r="G44" s="84" t="e">
        <f>F44</f>
        <v>#REF!</v>
      </c>
    </row>
    <row r="45" spans="1:7" ht="18" customHeight="1">
      <c r="A45" s="76" t="s">
        <v>129</v>
      </c>
      <c r="B45" s="77" t="s">
        <v>10</v>
      </c>
      <c r="C45" s="77" t="s">
        <v>64</v>
      </c>
      <c r="D45" s="77"/>
      <c r="E45" s="77"/>
      <c r="F45" s="44" t="e">
        <f>#REF!*105.5%</f>
        <v>#REF!</v>
      </c>
      <c r="G45" s="84" t="e">
        <f t="shared" si="1"/>
        <v>#REF!</v>
      </c>
    </row>
    <row r="46" spans="1:7">
      <c r="A46" s="78" t="s">
        <v>145</v>
      </c>
      <c r="B46" s="43" t="s">
        <v>10</v>
      </c>
      <c r="C46" s="43" t="s">
        <v>64</v>
      </c>
      <c r="D46" s="43" t="s">
        <v>146</v>
      </c>
      <c r="E46" s="77"/>
      <c r="F46" s="44" t="e">
        <f>#REF!*105.5%</f>
        <v>#REF!</v>
      </c>
      <c r="G46" s="84" t="e">
        <f t="shared" si="1"/>
        <v>#REF!</v>
      </c>
    </row>
    <row r="47" spans="1:7">
      <c r="A47" s="78" t="s">
        <v>145</v>
      </c>
      <c r="B47" s="43" t="s">
        <v>10</v>
      </c>
      <c r="C47" s="43" t="s">
        <v>64</v>
      </c>
      <c r="D47" s="43" t="s">
        <v>147</v>
      </c>
      <c r="E47" s="77"/>
      <c r="F47" s="44" t="e">
        <f>#REF!*105.5%</f>
        <v>#REF!</v>
      </c>
      <c r="G47" s="84" t="e">
        <f t="shared" si="1"/>
        <v>#REF!</v>
      </c>
    </row>
    <row r="48" spans="1:7">
      <c r="A48" s="78" t="s">
        <v>145</v>
      </c>
      <c r="B48" s="43" t="s">
        <v>10</v>
      </c>
      <c r="C48" s="43" t="s">
        <v>64</v>
      </c>
      <c r="D48" s="43" t="s">
        <v>147</v>
      </c>
      <c r="E48" s="43"/>
      <c r="F48" s="44" t="e">
        <f>#REF!*105.5%</f>
        <v>#REF!</v>
      </c>
      <c r="G48" s="84" t="e">
        <f t="shared" si="1"/>
        <v>#REF!</v>
      </c>
    </row>
    <row r="49" spans="1:7" ht="25.5">
      <c r="A49" s="48" t="s">
        <v>178</v>
      </c>
      <c r="B49" s="43" t="s">
        <v>10</v>
      </c>
      <c r="C49" s="43" t="s">
        <v>64</v>
      </c>
      <c r="D49" s="43" t="s">
        <v>147</v>
      </c>
      <c r="E49" s="43" t="s">
        <v>179</v>
      </c>
      <c r="F49" s="44" t="e">
        <f>#REF!*105.5%</f>
        <v>#REF!</v>
      </c>
      <c r="G49" s="84" t="e">
        <f t="shared" si="1"/>
        <v>#REF!</v>
      </c>
    </row>
    <row r="50" spans="1:7" ht="25.5">
      <c r="A50" s="78" t="s">
        <v>372</v>
      </c>
      <c r="B50" s="43" t="s">
        <v>10</v>
      </c>
      <c r="C50" s="43" t="s">
        <v>89</v>
      </c>
      <c r="D50" s="43" t="s">
        <v>17</v>
      </c>
      <c r="E50" s="43" t="s">
        <v>189</v>
      </c>
      <c r="F50" s="44" t="e">
        <f>#REF!*105.5%</f>
        <v>#REF!</v>
      </c>
      <c r="G50" s="84" t="e">
        <f t="shared" si="1"/>
        <v>#REF!</v>
      </c>
    </row>
    <row r="51" spans="1:7" ht="19.5" customHeight="1">
      <c r="A51" s="78" t="s">
        <v>206</v>
      </c>
      <c r="B51" s="43" t="s">
        <v>10</v>
      </c>
      <c r="C51" s="43" t="s">
        <v>89</v>
      </c>
      <c r="D51" s="43" t="s">
        <v>17</v>
      </c>
      <c r="E51" s="43" t="s">
        <v>192</v>
      </c>
      <c r="F51" s="44" t="e">
        <f>#REF!*105.5%</f>
        <v>#REF!</v>
      </c>
      <c r="G51" s="84" t="e">
        <f t="shared" si="1"/>
        <v>#REF!</v>
      </c>
    </row>
    <row r="52" spans="1:7" ht="17.25" customHeight="1">
      <c r="A52" s="76" t="s">
        <v>23</v>
      </c>
      <c r="B52" s="77" t="s">
        <v>10</v>
      </c>
      <c r="C52" s="77" t="s">
        <v>22</v>
      </c>
      <c r="D52" s="77"/>
      <c r="E52" s="77"/>
      <c r="F52" s="74">
        <f t="shared" ref="F52:G54" si="2">F53</f>
        <v>6500</v>
      </c>
      <c r="G52" s="85">
        <f t="shared" si="2"/>
        <v>6500</v>
      </c>
    </row>
    <row r="53" spans="1:7" ht="15.75" customHeight="1">
      <c r="A53" s="48" t="s">
        <v>23</v>
      </c>
      <c r="B53" s="43" t="s">
        <v>10</v>
      </c>
      <c r="C53" s="43" t="s">
        <v>22</v>
      </c>
      <c r="D53" s="43" t="s">
        <v>25</v>
      </c>
      <c r="E53" s="43"/>
      <c r="F53" s="44">
        <f t="shared" si="2"/>
        <v>6500</v>
      </c>
      <c r="G53" s="84">
        <f t="shared" si="2"/>
        <v>6500</v>
      </c>
    </row>
    <row r="54" spans="1:7" ht="18.75" customHeight="1">
      <c r="A54" s="48" t="s">
        <v>26</v>
      </c>
      <c r="B54" s="43" t="s">
        <v>10</v>
      </c>
      <c r="C54" s="43" t="s">
        <v>22</v>
      </c>
      <c r="D54" s="43" t="s">
        <v>27</v>
      </c>
      <c r="E54" s="43"/>
      <c r="F54" s="44">
        <f t="shared" si="2"/>
        <v>6500</v>
      </c>
      <c r="G54" s="84">
        <f t="shared" si="2"/>
        <v>6500</v>
      </c>
    </row>
    <row r="55" spans="1:7" ht="25.5">
      <c r="A55" s="48" t="s">
        <v>178</v>
      </c>
      <c r="B55" s="43" t="s">
        <v>10</v>
      </c>
      <c r="C55" s="43" t="s">
        <v>22</v>
      </c>
      <c r="D55" s="43" t="s">
        <v>27</v>
      </c>
      <c r="E55" s="43" t="s">
        <v>179</v>
      </c>
      <c r="F55" s="44">
        <f>'Ведомственная 2015-2016'!G302</f>
        <v>6500</v>
      </c>
      <c r="G55" s="84">
        <v>6500</v>
      </c>
    </row>
    <row r="56" spans="1:7" ht="24.75" customHeight="1">
      <c r="A56" s="76" t="s">
        <v>28</v>
      </c>
      <c r="B56" s="77" t="s">
        <v>10</v>
      </c>
      <c r="C56" s="77" t="s">
        <v>154</v>
      </c>
      <c r="D56" s="77"/>
      <c r="E56" s="77"/>
      <c r="F56" s="74" t="e">
        <f>F57+F65</f>
        <v>#REF!</v>
      </c>
      <c r="G56" s="85" t="e">
        <f>G57+G65</f>
        <v>#REF!</v>
      </c>
    </row>
    <row r="57" spans="1:7" ht="18" customHeight="1">
      <c r="A57" s="78" t="s">
        <v>15</v>
      </c>
      <c r="B57" s="79" t="s">
        <v>10</v>
      </c>
      <c r="C57" s="43" t="s">
        <v>154</v>
      </c>
      <c r="D57" s="43" t="s">
        <v>14</v>
      </c>
      <c r="E57" s="43"/>
      <c r="F57" s="44" t="e">
        <f>F58</f>
        <v>#REF!</v>
      </c>
      <c r="G57" s="84" t="e">
        <f>F57*105%</f>
        <v>#REF!</v>
      </c>
    </row>
    <row r="58" spans="1:7" ht="18.75" customHeight="1">
      <c r="A58" s="78" t="s">
        <v>15</v>
      </c>
      <c r="B58" s="79" t="s">
        <v>10</v>
      </c>
      <c r="C58" s="43" t="s">
        <v>154</v>
      </c>
      <c r="D58" s="43" t="s">
        <v>16</v>
      </c>
      <c r="E58" s="43"/>
      <c r="F58" s="44" t="e">
        <f>F59</f>
        <v>#REF!</v>
      </c>
      <c r="G58" s="84" t="e">
        <f>F58*105%</f>
        <v>#REF!</v>
      </c>
    </row>
    <row r="59" spans="1:7" ht="17.25" customHeight="1">
      <c r="A59" s="78" t="s">
        <v>15</v>
      </c>
      <c r="B59" s="79" t="s">
        <v>10</v>
      </c>
      <c r="C59" s="43" t="s">
        <v>154</v>
      </c>
      <c r="D59" s="43" t="s">
        <v>17</v>
      </c>
      <c r="E59" s="43"/>
      <c r="F59" s="84" t="e">
        <f>F60+F61+F62+F63+F64</f>
        <v>#REF!</v>
      </c>
      <c r="G59" s="84" t="e">
        <f t="shared" ref="G59:G64" si="3">F59*105.5%</f>
        <v>#REF!</v>
      </c>
    </row>
    <row r="60" spans="1:7" ht="25.5">
      <c r="A60" s="124" t="s">
        <v>169</v>
      </c>
      <c r="B60" s="79" t="s">
        <v>10</v>
      </c>
      <c r="C60" s="43" t="s">
        <v>154</v>
      </c>
      <c r="D60" s="43" t="s">
        <v>17</v>
      </c>
      <c r="E60" s="43" t="s">
        <v>171</v>
      </c>
      <c r="F60" s="84" t="e">
        <f>#REF!*105.5%</f>
        <v>#REF!</v>
      </c>
      <c r="G60" s="84" t="e">
        <f t="shared" si="3"/>
        <v>#REF!</v>
      </c>
    </row>
    <row r="61" spans="1:7" ht="29.25" hidden="1" customHeight="1">
      <c r="A61" s="78" t="s">
        <v>205</v>
      </c>
      <c r="B61" s="79" t="s">
        <v>10</v>
      </c>
      <c r="C61" s="43" t="s">
        <v>154</v>
      </c>
      <c r="D61" s="43" t="s">
        <v>17</v>
      </c>
      <c r="E61" s="43" t="s">
        <v>204</v>
      </c>
      <c r="F61" s="84"/>
      <c r="G61" s="84">
        <f t="shared" si="3"/>
        <v>0</v>
      </c>
    </row>
    <row r="62" spans="1:7" ht="38.25">
      <c r="A62" s="78" t="s">
        <v>170</v>
      </c>
      <c r="B62" s="79" t="s">
        <v>10</v>
      </c>
      <c r="C62" s="43" t="s">
        <v>154</v>
      </c>
      <c r="D62" s="43" t="s">
        <v>17</v>
      </c>
      <c r="E62" s="43" t="s">
        <v>168</v>
      </c>
      <c r="F62" s="84" t="e">
        <f>#REF!*105.5%</f>
        <v>#REF!</v>
      </c>
      <c r="G62" s="84" t="e">
        <f t="shared" si="3"/>
        <v>#REF!</v>
      </c>
    </row>
    <row r="63" spans="1:7" ht="25.5">
      <c r="A63" s="78" t="s">
        <v>372</v>
      </c>
      <c r="B63" s="79" t="s">
        <v>10</v>
      </c>
      <c r="C63" s="43" t="s">
        <v>154</v>
      </c>
      <c r="D63" s="43" t="s">
        <v>17</v>
      </c>
      <c r="E63" s="43" t="s">
        <v>189</v>
      </c>
      <c r="F63" s="84" t="e">
        <f>#REF!*105.5%</f>
        <v>#REF!</v>
      </c>
      <c r="G63" s="84" t="e">
        <f t="shared" si="3"/>
        <v>#REF!</v>
      </c>
    </row>
    <row r="64" spans="1:7" ht="24.75" customHeight="1">
      <c r="A64" s="78" t="s">
        <v>206</v>
      </c>
      <c r="B64" s="79" t="s">
        <v>10</v>
      </c>
      <c r="C64" s="43" t="s">
        <v>154</v>
      </c>
      <c r="D64" s="43" t="s">
        <v>17</v>
      </c>
      <c r="E64" s="43" t="s">
        <v>192</v>
      </c>
      <c r="F64" s="84" t="e">
        <f>#REF!*105.5%</f>
        <v>#REF!</v>
      </c>
      <c r="G64" s="84" t="e">
        <f t="shared" si="3"/>
        <v>#REF!</v>
      </c>
    </row>
    <row r="65" spans="1:7" ht="25.5">
      <c r="A65" s="78" t="s">
        <v>392</v>
      </c>
      <c r="B65" s="43" t="s">
        <v>10</v>
      </c>
      <c r="C65" s="43" t="s">
        <v>154</v>
      </c>
      <c r="D65" s="43" t="s">
        <v>393</v>
      </c>
      <c r="E65" s="43"/>
      <c r="F65" s="100" t="e">
        <f>F66+F67+F68+F69</f>
        <v>#REF!</v>
      </c>
      <c r="G65" s="84" t="e">
        <f>G66+G67+G68+G69</f>
        <v>#REF!</v>
      </c>
    </row>
    <row r="66" spans="1:7" ht="27" customHeight="1">
      <c r="A66" s="124" t="s">
        <v>169</v>
      </c>
      <c r="B66" s="43" t="s">
        <v>10</v>
      </c>
      <c r="C66" s="43" t="s">
        <v>154</v>
      </c>
      <c r="D66" s="43" t="s">
        <v>393</v>
      </c>
      <c r="E66" s="43" t="s">
        <v>171</v>
      </c>
      <c r="F66" s="44">
        <f>'Ведомственная 2015-2016'!G121</f>
        <v>8522.4</v>
      </c>
      <c r="G66" s="84">
        <f>'Ведомственная 2015-2016'!H121</f>
        <v>8522.4</v>
      </c>
    </row>
    <row r="67" spans="1:7" ht="32.25" hidden="1" customHeight="1">
      <c r="A67" s="78" t="s">
        <v>205</v>
      </c>
      <c r="B67" s="43" t="s">
        <v>10</v>
      </c>
      <c r="C67" s="43" t="s">
        <v>154</v>
      </c>
      <c r="D67" s="43" t="s">
        <v>393</v>
      </c>
      <c r="E67" s="43" t="s">
        <v>204</v>
      </c>
      <c r="F67" s="44"/>
      <c r="G67" s="84">
        <f>F67</f>
        <v>0</v>
      </c>
    </row>
    <row r="68" spans="1:7" ht="31.5" customHeight="1">
      <c r="A68" s="78" t="s">
        <v>207</v>
      </c>
      <c r="B68" s="43" t="s">
        <v>10</v>
      </c>
      <c r="C68" s="43" t="s">
        <v>154</v>
      </c>
      <c r="D68" s="43" t="s">
        <v>393</v>
      </c>
      <c r="E68" s="43" t="s">
        <v>168</v>
      </c>
      <c r="F68" s="44" t="e">
        <f>#REF!</f>
        <v>#REF!</v>
      </c>
      <c r="G68" s="84" t="e">
        <f>F68</f>
        <v>#REF!</v>
      </c>
    </row>
    <row r="69" spans="1:7" ht="25.5">
      <c r="A69" s="78" t="s">
        <v>191</v>
      </c>
      <c r="B69" s="43" t="s">
        <v>10</v>
      </c>
      <c r="C69" s="43" t="s">
        <v>154</v>
      </c>
      <c r="D69" s="43" t="s">
        <v>393</v>
      </c>
      <c r="E69" s="43" t="s">
        <v>189</v>
      </c>
      <c r="F69" s="44" t="e">
        <f>#REF!</f>
        <v>#REF!</v>
      </c>
      <c r="G69" s="84" t="e">
        <f>F69</f>
        <v>#REF!</v>
      </c>
    </row>
    <row r="70" spans="1:7" ht="25.5">
      <c r="A70" s="76" t="s">
        <v>32</v>
      </c>
      <c r="B70" s="77" t="s">
        <v>12</v>
      </c>
      <c r="C70" s="77"/>
      <c r="D70" s="77"/>
      <c r="E70" s="77"/>
      <c r="F70" s="74" t="e">
        <f>F71</f>
        <v>#REF!</v>
      </c>
      <c r="G70" s="85" t="e">
        <f>F70*105%</f>
        <v>#REF!</v>
      </c>
    </row>
    <row r="71" spans="1:7" ht="38.25">
      <c r="A71" s="76" t="s">
        <v>373</v>
      </c>
      <c r="B71" s="77" t="s">
        <v>12</v>
      </c>
      <c r="C71" s="77" t="s">
        <v>33</v>
      </c>
      <c r="D71" s="77"/>
      <c r="E71" s="77"/>
      <c r="F71" s="74" t="e">
        <f>F72</f>
        <v>#REF!</v>
      </c>
      <c r="G71" s="85" t="e">
        <f>F71*105%</f>
        <v>#REF!</v>
      </c>
    </row>
    <row r="72" spans="1:7" ht="30" customHeight="1">
      <c r="A72" s="78" t="s">
        <v>34</v>
      </c>
      <c r="B72" s="43" t="s">
        <v>12</v>
      </c>
      <c r="C72" s="43" t="s">
        <v>33</v>
      </c>
      <c r="D72" s="43" t="s">
        <v>35</v>
      </c>
      <c r="E72" s="77"/>
      <c r="F72" s="44" t="e">
        <f>F73</f>
        <v>#REF!</v>
      </c>
      <c r="G72" s="84" t="e">
        <f>F72*105%</f>
        <v>#REF!</v>
      </c>
    </row>
    <row r="73" spans="1:7" ht="25.5">
      <c r="A73" s="48" t="s">
        <v>36</v>
      </c>
      <c r="B73" s="43" t="s">
        <v>12</v>
      </c>
      <c r="C73" s="43" t="s">
        <v>33</v>
      </c>
      <c r="D73" s="43" t="s">
        <v>37</v>
      </c>
      <c r="E73" s="77"/>
      <c r="F73" s="44" t="e">
        <f>F74</f>
        <v>#REF!</v>
      </c>
      <c r="G73" s="84" t="e">
        <f>F73*105%</f>
        <v>#REF!</v>
      </c>
    </row>
    <row r="74" spans="1:7" ht="25.5">
      <c r="A74" s="48" t="s">
        <v>36</v>
      </c>
      <c r="B74" s="43" t="s">
        <v>12</v>
      </c>
      <c r="C74" s="43" t="s">
        <v>33</v>
      </c>
      <c r="D74" s="43" t="s">
        <v>38</v>
      </c>
      <c r="E74" s="43"/>
      <c r="F74" s="44" t="e">
        <f>F75+F76+F77+F78+F79+F80</f>
        <v>#REF!</v>
      </c>
      <c r="G74" s="84" t="e">
        <f>F74*105%</f>
        <v>#REF!</v>
      </c>
    </row>
    <row r="75" spans="1:7" ht="25.5">
      <c r="A75" s="78" t="s">
        <v>169</v>
      </c>
      <c r="B75" s="43" t="s">
        <v>12</v>
      </c>
      <c r="C75" s="43" t="s">
        <v>33</v>
      </c>
      <c r="D75" s="43" t="s">
        <v>38</v>
      </c>
      <c r="E75" s="43" t="s">
        <v>171</v>
      </c>
      <c r="F75" s="44" t="e">
        <f>#REF!*105.5%</f>
        <v>#REF!</v>
      </c>
      <c r="G75" s="84" t="e">
        <f t="shared" ref="G75:G80" si="4">F75*105.5%</f>
        <v>#REF!</v>
      </c>
    </row>
    <row r="76" spans="1:7" ht="30" hidden="1" customHeight="1">
      <c r="A76" s="78" t="s">
        <v>205</v>
      </c>
      <c r="B76" s="43" t="s">
        <v>12</v>
      </c>
      <c r="C76" s="43" t="s">
        <v>33</v>
      </c>
      <c r="D76" s="43" t="s">
        <v>38</v>
      </c>
      <c r="E76" s="43" t="s">
        <v>204</v>
      </c>
      <c r="F76" s="44"/>
      <c r="G76" s="84">
        <f t="shared" si="4"/>
        <v>0</v>
      </c>
    </row>
    <row r="77" spans="1:7" ht="38.25">
      <c r="A77" s="78" t="s">
        <v>170</v>
      </c>
      <c r="B77" s="43" t="s">
        <v>12</v>
      </c>
      <c r="C77" s="43" t="s">
        <v>33</v>
      </c>
      <c r="D77" s="43" t="s">
        <v>38</v>
      </c>
      <c r="E77" s="43" t="s">
        <v>168</v>
      </c>
      <c r="F77" s="44" t="e">
        <f>#REF!*105.5%</f>
        <v>#REF!</v>
      </c>
      <c r="G77" s="84" t="e">
        <f t="shared" si="4"/>
        <v>#REF!</v>
      </c>
    </row>
    <row r="78" spans="1:7" ht="38.25">
      <c r="A78" s="78" t="s">
        <v>170</v>
      </c>
      <c r="B78" s="43" t="s">
        <v>12</v>
      </c>
      <c r="C78" s="43" t="s">
        <v>33</v>
      </c>
      <c r="D78" s="43" t="s">
        <v>38</v>
      </c>
      <c r="E78" s="43" t="s">
        <v>168</v>
      </c>
      <c r="F78" s="44" t="e">
        <f>#REF!*105.5%</f>
        <v>#REF!</v>
      </c>
      <c r="G78" s="84" t="e">
        <f t="shared" si="4"/>
        <v>#REF!</v>
      </c>
    </row>
    <row r="79" spans="1:7" ht="38.25">
      <c r="A79" s="78" t="s">
        <v>190</v>
      </c>
      <c r="B79" s="43" t="s">
        <v>12</v>
      </c>
      <c r="C79" s="43" t="s">
        <v>33</v>
      </c>
      <c r="D79" s="43" t="s">
        <v>38</v>
      </c>
      <c r="E79" s="43" t="s">
        <v>189</v>
      </c>
      <c r="F79" s="44" t="e">
        <f>#REF!*105.5%</f>
        <v>#REF!</v>
      </c>
      <c r="G79" s="84" t="e">
        <f t="shared" si="4"/>
        <v>#REF!</v>
      </c>
    </row>
    <row r="80" spans="1:7" ht="25.5">
      <c r="A80" s="78" t="s">
        <v>191</v>
      </c>
      <c r="B80" s="43" t="s">
        <v>12</v>
      </c>
      <c r="C80" s="43" t="s">
        <v>33</v>
      </c>
      <c r="D80" s="43" t="s">
        <v>38</v>
      </c>
      <c r="E80" s="43" t="s">
        <v>192</v>
      </c>
      <c r="F80" s="44" t="e">
        <f>#REF!*105.5%</f>
        <v>#REF!</v>
      </c>
      <c r="G80" s="84" t="e">
        <f t="shared" si="4"/>
        <v>#REF!</v>
      </c>
    </row>
    <row r="81" spans="1:7" s="23" customFormat="1" ht="17.25" customHeight="1">
      <c r="A81" s="76" t="s">
        <v>39</v>
      </c>
      <c r="B81" s="77" t="s">
        <v>19</v>
      </c>
      <c r="C81" s="77"/>
      <c r="D81" s="77"/>
      <c r="E81" s="77"/>
      <c r="F81" s="85" t="e">
        <f>F82+F88+F93</f>
        <v>#REF!</v>
      </c>
      <c r="G81" s="85">
        <f>G88+G93</f>
        <v>27228.285000000003</v>
      </c>
    </row>
    <row r="82" spans="1:7" s="23" customFormat="1" ht="25.5" customHeight="1">
      <c r="A82" s="48" t="s">
        <v>141</v>
      </c>
      <c r="B82" s="43" t="s">
        <v>19</v>
      </c>
      <c r="C82" s="43" t="s">
        <v>81</v>
      </c>
      <c r="D82" s="43"/>
      <c r="E82" s="43"/>
      <c r="F82" s="44" t="e">
        <f>F83</f>
        <v>#REF!</v>
      </c>
      <c r="G82" s="84" t="e">
        <f>G83</f>
        <v>#REF!</v>
      </c>
    </row>
    <row r="83" spans="1:7" s="23" customFormat="1" ht="25.5" customHeight="1">
      <c r="A83" s="48" t="s">
        <v>396</v>
      </c>
      <c r="B83" s="43" t="s">
        <v>19</v>
      </c>
      <c r="C83" s="43" t="s">
        <v>81</v>
      </c>
      <c r="D83" s="43" t="s">
        <v>397</v>
      </c>
      <c r="E83" s="43"/>
      <c r="F83" s="44" t="e">
        <f>F84+F85+F86+F87</f>
        <v>#REF!</v>
      </c>
      <c r="G83" s="84" t="e">
        <f>G84+G85+G86+G87</f>
        <v>#REF!</v>
      </c>
    </row>
    <row r="84" spans="1:7" s="23" customFormat="1" ht="25.5" customHeight="1">
      <c r="A84" s="78" t="s">
        <v>209</v>
      </c>
      <c r="B84" s="43" t="s">
        <v>19</v>
      </c>
      <c r="C84" s="43" t="s">
        <v>81</v>
      </c>
      <c r="D84" s="43" t="s">
        <v>398</v>
      </c>
      <c r="E84" s="43" t="s">
        <v>171</v>
      </c>
      <c r="F84" s="44" t="e">
        <f>#REF!*105.5%</f>
        <v>#REF!</v>
      </c>
      <c r="G84" s="84" t="e">
        <f>F84*105.5%</f>
        <v>#REF!</v>
      </c>
    </row>
    <row r="85" spans="1:7" s="23" customFormat="1" ht="25.5" hidden="1" customHeight="1">
      <c r="A85" s="78" t="s">
        <v>205</v>
      </c>
      <c r="B85" s="43" t="s">
        <v>19</v>
      </c>
      <c r="C85" s="43" t="s">
        <v>81</v>
      </c>
      <c r="D85" s="43" t="s">
        <v>398</v>
      </c>
      <c r="E85" s="43" t="s">
        <v>204</v>
      </c>
      <c r="F85" s="44"/>
      <c r="G85" s="84">
        <f>F85*105.5%</f>
        <v>0</v>
      </c>
    </row>
    <row r="86" spans="1:7" s="23" customFormat="1" ht="25.5" customHeight="1">
      <c r="A86" s="78" t="s">
        <v>207</v>
      </c>
      <c r="B86" s="43" t="s">
        <v>19</v>
      </c>
      <c r="C86" s="43" t="s">
        <v>81</v>
      </c>
      <c r="D86" s="43" t="s">
        <v>398</v>
      </c>
      <c r="E86" s="43" t="s">
        <v>168</v>
      </c>
      <c r="F86" s="44" t="e">
        <f>#REF!*105.5%</f>
        <v>#REF!</v>
      </c>
      <c r="G86" s="84" t="e">
        <f>F86*105.5%</f>
        <v>#REF!</v>
      </c>
    </row>
    <row r="87" spans="1:7" s="23" customFormat="1" ht="25.5" customHeight="1">
      <c r="A87" s="78" t="s">
        <v>372</v>
      </c>
      <c r="B87" s="43" t="s">
        <v>19</v>
      </c>
      <c r="C87" s="43" t="s">
        <v>81</v>
      </c>
      <c r="D87" s="43" t="s">
        <v>398</v>
      </c>
      <c r="E87" s="43" t="s">
        <v>189</v>
      </c>
      <c r="F87" s="44" t="e">
        <f>#REF!*105.5%</f>
        <v>#REF!</v>
      </c>
      <c r="G87" s="84" t="e">
        <f>F87*105.5%</f>
        <v>#REF!</v>
      </c>
    </row>
    <row r="88" spans="1:7" s="23" customFormat="1" ht="18" customHeight="1">
      <c r="A88" s="102" t="s">
        <v>149</v>
      </c>
      <c r="B88" s="77" t="s">
        <v>19</v>
      </c>
      <c r="C88" s="77" t="s">
        <v>33</v>
      </c>
      <c r="D88" s="77"/>
      <c r="E88" s="77"/>
      <c r="F88" s="74">
        <f>F89</f>
        <v>25931.7</v>
      </c>
      <c r="G88" s="85">
        <f>G89</f>
        <v>27228.285000000003</v>
      </c>
    </row>
    <row r="89" spans="1:7" ht="16.5" customHeight="1">
      <c r="A89" s="78" t="s">
        <v>130</v>
      </c>
      <c r="B89" s="43" t="s">
        <v>19</v>
      </c>
      <c r="C89" s="43" t="s">
        <v>33</v>
      </c>
      <c r="D89" s="43" t="s">
        <v>148</v>
      </c>
      <c r="E89" s="43"/>
      <c r="F89" s="44">
        <f>F90</f>
        <v>25931.7</v>
      </c>
      <c r="G89" s="84">
        <f>F89*105%</f>
        <v>27228.285000000003</v>
      </c>
    </row>
    <row r="90" spans="1:7" ht="18" customHeight="1">
      <c r="A90" s="78" t="s">
        <v>157</v>
      </c>
      <c r="B90" s="43" t="s">
        <v>19</v>
      </c>
      <c r="C90" s="43" t="s">
        <v>33</v>
      </c>
      <c r="D90" s="43" t="s">
        <v>156</v>
      </c>
      <c r="E90" s="43"/>
      <c r="F90" s="44">
        <f>F91</f>
        <v>25931.7</v>
      </c>
      <c r="G90" s="84">
        <f>F90*105%</f>
        <v>27228.285000000003</v>
      </c>
    </row>
    <row r="91" spans="1:7" ht="25.5">
      <c r="A91" s="48" t="s">
        <v>174</v>
      </c>
      <c r="B91" s="43" t="s">
        <v>19</v>
      </c>
      <c r="C91" s="43" t="s">
        <v>33</v>
      </c>
      <c r="D91" s="43" t="s">
        <v>173</v>
      </c>
      <c r="E91" s="43"/>
      <c r="F91" s="44">
        <f>F92</f>
        <v>25931.7</v>
      </c>
      <c r="G91" s="84">
        <f>F91*105%</f>
        <v>27228.285000000003</v>
      </c>
    </row>
    <row r="92" spans="1:7" ht="38.25">
      <c r="A92" s="78" t="s">
        <v>170</v>
      </c>
      <c r="B92" s="43" t="s">
        <v>19</v>
      </c>
      <c r="C92" s="43" t="s">
        <v>33</v>
      </c>
      <c r="D92" s="43" t="s">
        <v>173</v>
      </c>
      <c r="E92" s="43" t="s">
        <v>168</v>
      </c>
      <c r="F92" s="44">
        <v>25931.7</v>
      </c>
      <c r="G92" s="84">
        <f>F92*105%</f>
        <v>27228.285000000003</v>
      </c>
    </row>
    <row r="93" spans="1:7" ht="26.25" customHeight="1">
      <c r="A93" s="76" t="s">
        <v>40</v>
      </c>
      <c r="B93" s="77" t="s">
        <v>19</v>
      </c>
      <c r="C93" s="77" t="s">
        <v>24</v>
      </c>
      <c r="D93" s="77"/>
      <c r="E93" s="77"/>
      <c r="F93" s="74">
        <f t="shared" ref="F93:G95" si="5">F94</f>
        <v>4000</v>
      </c>
      <c r="G93" s="85">
        <f t="shared" si="5"/>
        <v>0</v>
      </c>
    </row>
    <row r="94" spans="1:7" ht="24.75" customHeight="1">
      <c r="A94" s="48" t="s">
        <v>40</v>
      </c>
      <c r="B94" s="43" t="s">
        <v>19</v>
      </c>
      <c r="C94" s="43" t="s">
        <v>24</v>
      </c>
      <c r="D94" s="43" t="s">
        <v>41</v>
      </c>
      <c r="E94" s="77"/>
      <c r="F94" s="44">
        <f t="shared" si="5"/>
        <v>4000</v>
      </c>
      <c r="G94" s="84">
        <f t="shared" si="5"/>
        <v>0</v>
      </c>
    </row>
    <row r="95" spans="1:7" ht="30" customHeight="1">
      <c r="A95" s="48" t="s">
        <v>142</v>
      </c>
      <c r="B95" s="43" t="s">
        <v>19</v>
      </c>
      <c r="C95" s="43" t="s">
        <v>24</v>
      </c>
      <c r="D95" s="43" t="s">
        <v>131</v>
      </c>
      <c r="E95" s="43"/>
      <c r="F95" s="44">
        <f t="shared" si="5"/>
        <v>4000</v>
      </c>
      <c r="G95" s="84">
        <f t="shared" si="5"/>
        <v>0</v>
      </c>
    </row>
    <row r="96" spans="1:7" ht="40.5" customHeight="1">
      <c r="A96" s="48" t="s">
        <v>391</v>
      </c>
      <c r="B96" s="43" t="s">
        <v>19</v>
      </c>
      <c r="C96" s="43" t="s">
        <v>24</v>
      </c>
      <c r="D96" s="43" t="s">
        <v>131</v>
      </c>
      <c r="E96" s="43" t="s">
        <v>172</v>
      </c>
      <c r="F96" s="44">
        <f>'Ведомственная 2015-2016'!G52</f>
        <v>4000</v>
      </c>
      <c r="G96" s="84">
        <v>0</v>
      </c>
    </row>
    <row r="97" spans="1:7" ht="18" customHeight="1">
      <c r="A97" s="76" t="s">
        <v>43</v>
      </c>
      <c r="B97" s="77" t="s">
        <v>44</v>
      </c>
      <c r="C97" s="77"/>
      <c r="D97" s="77"/>
      <c r="E97" s="77"/>
      <c r="F97" s="74" t="e">
        <f>F98+F106+F109+F115</f>
        <v>#REF!</v>
      </c>
      <c r="G97" s="85">
        <f>288086.7+100407.8</f>
        <v>388494.5</v>
      </c>
    </row>
    <row r="98" spans="1:7" ht="15.75" customHeight="1">
      <c r="A98" s="102" t="s">
        <v>45</v>
      </c>
      <c r="B98" s="77" t="s">
        <v>44</v>
      </c>
      <c r="C98" s="77" t="s">
        <v>10</v>
      </c>
      <c r="D98" s="77"/>
      <c r="E98" s="77"/>
      <c r="F98" s="74" t="e">
        <f>F99+62816.2</f>
        <v>#REF!</v>
      </c>
      <c r="G98" s="85" t="e">
        <f>G99</f>
        <v>#REF!</v>
      </c>
    </row>
    <row r="99" spans="1:7" ht="21.75" customHeight="1">
      <c r="A99" s="78" t="s">
        <v>46</v>
      </c>
      <c r="B99" s="43" t="s">
        <v>44</v>
      </c>
      <c r="C99" s="43" t="s">
        <v>10</v>
      </c>
      <c r="D99" s="43" t="s">
        <v>47</v>
      </c>
      <c r="E99" s="43"/>
      <c r="F99" s="44" t="e">
        <f>F100+F103</f>
        <v>#REF!</v>
      </c>
      <c r="G99" s="84" t="e">
        <f>G100</f>
        <v>#REF!</v>
      </c>
    </row>
    <row r="100" spans="1:7" ht="38.25">
      <c r="A100" s="78" t="s">
        <v>374</v>
      </c>
      <c r="B100" s="43" t="s">
        <v>44</v>
      </c>
      <c r="C100" s="43" t="s">
        <v>10</v>
      </c>
      <c r="D100" s="43" t="s">
        <v>48</v>
      </c>
      <c r="E100" s="43"/>
      <c r="F100" s="44" t="e">
        <f>F101</f>
        <v>#REF!</v>
      </c>
      <c r="G100" s="84" t="e">
        <f>G101</f>
        <v>#REF!</v>
      </c>
    </row>
    <row r="101" spans="1:7" ht="38.25">
      <c r="A101" s="78" t="s">
        <v>375</v>
      </c>
      <c r="B101" s="43" t="s">
        <v>44</v>
      </c>
      <c r="C101" s="43" t="s">
        <v>10</v>
      </c>
      <c r="D101" s="43" t="s">
        <v>49</v>
      </c>
      <c r="E101" s="43"/>
      <c r="F101" s="44" t="e">
        <f>F102</f>
        <v>#REF!</v>
      </c>
      <c r="G101" s="84" t="e">
        <f>G102</f>
        <v>#REF!</v>
      </c>
    </row>
    <row r="102" spans="1:7" ht="33.75" customHeight="1">
      <c r="A102" s="78" t="s">
        <v>170</v>
      </c>
      <c r="B102" s="43" t="s">
        <v>44</v>
      </c>
      <c r="C102" s="43" t="s">
        <v>10</v>
      </c>
      <c r="D102" s="43" t="s">
        <v>49</v>
      </c>
      <c r="E102" s="43" t="s">
        <v>168</v>
      </c>
      <c r="F102" s="44" t="e">
        <f>#REF!*105.5%</f>
        <v>#REF!</v>
      </c>
      <c r="G102" s="84" t="e">
        <f>F102*105.5%</f>
        <v>#REF!</v>
      </c>
    </row>
    <row r="103" spans="1:7" ht="19.5" customHeight="1">
      <c r="A103" s="78" t="s">
        <v>165</v>
      </c>
      <c r="B103" s="43" t="s">
        <v>44</v>
      </c>
      <c r="C103" s="43" t="s">
        <v>10</v>
      </c>
      <c r="D103" s="43" t="s">
        <v>164</v>
      </c>
      <c r="E103" s="43"/>
      <c r="F103" s="44">
        <f>F104</f>
        <v>11252.1</v>
      </c>
      <c r="G103" s="84">
        <f>F103*105%</f>
        <v>11814.705000000002</v>
      </c>
    </row>
    <row r="104" spans="1:7" ht="21.75" customHeight="1">
      <c r="A104" s="78" t="s">
        <v>165</v>
      </c>
      <c r="B104" s="43" t="s">
        <v>44</v>
      </c>
      <c r="C104" s="43" t="s">
        <v>10</v>
      </c>
      <c r="D104" s="43" t="s">
        <v>163</v>
      </c>
      <c r="E104" s="43"/>
      <c r="F104" s="44">
        <f>F105</f>
        <v>11252.1</v>
      </c>
      <c r="G104" s="84">
        <f>F104*105%</f>
        <v>11814.705000000002</v>
      </c>
    </row>
    <row r="105" spans="1:7" ht="63.75">
      <c r="A105" s="48" t="s">
        <v>383</v>
      </c>
      <c r="B105" s="43" t="s">
        <v>44</v>
      </c>
      <c r="C105" s="43" t="s">
        <v>10</v>
      </c>
      <c r="D105" s="43" t="s">
        <v>163</v>
      </c>
      <c r="E105" s="43" t="s">
        <v>172</v>
      </c>
      <c r="F105" s="44">
        <v>11252.1</v>
      </c>
      <c r="G105" s="84">
        <f>F105*105.5%</f>
        <v>11870.9655</v>
      </c>
    </row>
    <row r="106" spans="1:7" ht="16.5" customHeight="1">
      <c r="A106" s="102" t="s">
        <v>293</v>
      </c>
      <c r="B106" s="77" t="s">
        <v>44</v>
      </c>
      <c r="C106" s="77" t="s">
        <v>50</v>
      </c>
      <c r="D106" s="77"/>
      <c r="E106" s="77"/>
      <c r="F106" s="74">
        <f>F107</f>
        <v>25900</v>
      </c>
      <c r="G106" s="85">
        <f>G107</f>
        <v>27454</v>
      </c>
    </row>
    <row r="107" spans="1:7" ht="41.25" customHeight="1">
      <c r="A107" s="48" t="str">
        <f>'Ведомственная 2015-2016'!A63</f>
        <v>Муниципальная целевая программа "Реформирование и модернизация ЖКХ-комплекса г.о.Нальчик на 2011-2015годы"</v>
      </c>
      <c r="B107" s="43" t="s">
        <v>44</v>
      </c>
      <c r="C107" s="43" t="s">
        <v>50</v>
      </c>
      <c r="D107" s="43" t="s">
        <v>395</v>
      </c>
      <c r="E107" s="43"/>
      <c r="F107" s="44">
        <f>F108</f>
        <v>25900</v>
      </c>
      <c r="G107" s="84">
        <f>G108</f>
        <v>27454</v>
      </c>
    </row>
    <row r="108" spans="1:7" ht="36.75" customHeight="1">
      <c r="A108" s="78" t="s">
        <v>176</v>
      </c>
      <c r="B108" s="43" t="s">
        <v>44</v>
      </c>
      <c r="C108" s="43" t="s">
        <v>50</v>
      </c>
      <c r="D108" s="43" t="s">
        <v>395</v>
      </c>
      <c r="E108" s="43" t="s">
        <v>168</v>
      </c>
      <c r="F108" s="44">
        <f>25900</f>
        <v>25900</v>
      </c>
      <c r="G108" s="84">
        <v>27454</v>
      </c>
    </row>
    <row r="109" spans="1:7" ht="15.75" customHeight="1">
      <c r="A109" s="102" t="s">
        <v>51</v>
      </c>
      <c r="B109" s="77" t="s">
        <v>44</v>
      </c>
      <c r="C109" s="77" t="s">
        <v>12</v>
      </c>
      <c r="D109" s="77"/>
      <c r="E109" s="77"/>
      <c r="F109" s="74" t="e">
        <f>F110</f>
        <v>#REF!</v>
      </c>
      <c r="G109" s="85" t="e">
        <f>G110</f>
        <v>#REF!</v>
      </c>
    </row>
    <row r="110" spans="1:7" ht="17.25" customHeight="1">
      <c r="A110" s="78" t="s">
        <v>51</v>
      </c>
      <c r="B110" s="43" t="s">
        <v>44</v>
      </c>
      <c r="C110" s="43" t="s">
        <v>12</v>
      </c>
      <c r="D110" s="43" t="s">
        <v>52</v>
      </c>
      <c r="E110" s="77"/>
      <c r="F110" s="44" t="e">
        <f>F111</f>
        <v>#REF!</v>
      </c>
      <c r="G110" s="84" t="e">
        <f>F110*105%</f>
        <v>#REF!</v>
      </c>
    </row>
    <row r="111" spans="1:7" ht="25.5">
      <c r="A111" s="78" t="s">
        <v>60</v>
      </c>
      <c r="B111" s="43" t="s">
        <v>44</v>
      </c>
      <c r="C111" s="43" t="s">
        <v>12</v>
      </c>
      <c r="D111" s="43" t="s">
        <v>61</v>
      </c>
      <c r="E111" s="43"/>
      <c r="F111" s="44" t="e">
        <f>F112</f>
        <v>#REF!</v>
      </c>
      <c r="G111" s="84" t="e">
        <f>G112</f>
        <v>#REF!</v>
      </c>
    </row>
    <row r="112" spans="1:7" ht="25.5">
      <c r="A112" s="78" t="s">
        <v>60</v>
      </c>
      <c r="B112" s="43" t="s">
        <v>44</v>
      </c>
      <c r="C112" s="43" t="s">
        <v>12</v>
      </c>
      <c r="D112" s="43" t="s">
        <v>61</v>
      </c>
      <c r="E112" s="43"/>
      <c r="F112" s="44" t="e">
        <f>F113+F114</f>
        <v>#REF!</v>
      </c>
      <c r="G112" s="84" t="e">
        <f>G113+G114</f>
        <v>#REF!</v>
      </c>
    </row>
    <row r="113" spans="1:7" ht="38.25">
      <c r="A113" s="78" t="s">
        <v>170</v>
      </c>
      <c r="B113" s="43" t="s">
        <v>44</v>
      </c>
      <c r="C113" s="43" t="s">
        <v>12</v>
      </c>
      <c r="D113" s="43" t="s">
        <v>61</v>
      </c>
      <c r="E113" s="43" t="s">
        <v>168</v>
      </c>
      <c r="F113" s="44" t="e">
        <f>#REF!*105.5%</f>
        <v>#REF!</v>
      </c>
      <c r="G113" s="84" t="e">
        <f>F113*105.5%</f>
        <v>#REF!</v>
      </c>
    </row>
    <row r="114" spans="1:7" ht="45.75" customHeight="1">
      <c r="A114" s="48" t="s">
        <v>325</v>
      </c>
      <c r="B114" s="43" t="s">
        <v>44</v>
      </c>
      <c r="C114" s="43" t="s">
        <v>12</v>
      </c>
      <c r="D114" s="43" t="s">
        <v>61</v>
      </c>
      <c r="E114" s="43" t="s">
        <v>326</v>
      </c>
      <c r="F114" s="44" t="e">
        <f>#REF!*105.5%</f>
        <v>#REF!</v>
      </c>
      <c r="G114" s="84">
        <v>1052.4000000000001</v>
      </c>
    </row>
    <row r="115" spans="1:7" ht="25.5">
      <c r="A115" s="76" t="s">
        <v>62</v>
      </c>
      <c r="B115" s="77" t="s">
        <v>44</v>
      </c>
      <c r="C115" s="77" t="s">
        <v>44</v>
      </c>
      <c r="D115" s="77"/>
      <c r="E115" s="77"/>
      <c r="F115" s="74" t="e">
        <f>F116</f>
        <v>#REF!</v>
      </c>
      <c r="G115" s="85" t="e">
        <f>F115*105%</f>
        <v>#REF!</v>
      </c>
    </row>
    <row r="116" spans="1:7" ht="51">
      <c r="A116" s="78" t="s">
        <v>13</v>
      </c>
      <c r="B116" s="43" t="s">
        <v>44</v>
      </c>
      <c r="C116" s="43" t="s">
        <v>44</v>
      </c>
      <c r="D116" s="43" t="s">
        <v>14</v>
      </c>
      <c r="E116" s="77"/>
      <c r="F116" s="44" t="e">
        <f>F117</f>
        <v>#REF!</v>
      </c>
      <c r="G116" s="84" t="e">
        <f>F116*105%</f>
        <v>#REF!</v>
      </c>
    </row>
    <row r="117" spans="1:7" ht="25.5">
      <c r="A117" s="48" t="s">
        <v>36</v>
      </c>
      <c r="B117" s="43" t="s">
        <v>44</v>
      </c>
      <c r="C117" s="43" t="s">
        <v>44</v>
      </c>
      <c r="D117" s="43" t="s">
        <v>297</v>
      </c>
      <c r="E117" s="77"/>
      <c r="F117" s="44" t="e">
        <f>F118</f>
        <v>#REF!</v>
      </c>
      <c r="G117" s="84" t="e">
        <f>F117*105%</f>
        <v>#REF!</v>
      </c>
    </row>
    <row r="118" spans="1:7" ht="18.75" customHeight="1">
      <c r="A118" s="48" t="s">
        <v>15</v>
      </c>
      <c r="B118" s="43" t="s">
        <v>44</v>
      </c>
      <c r="C118" s="43" t="s">
        <v>44</v>
      </c>
      <c r="D118" s="43" t="s">
        <v>297</v>
      </c>
      <c r="E118" s="43"/>
      <c r="F118" s="44" t="e">
        <f>F119+F120+F121+F122+F123</f>
        <v>#REF!</v>
      </c>
      <c r="G118" s="84" t="e">
        <f>F118*105%</f>
        <v>#REF!</v>
      </c>
    </row>
    <row r="119" spans="1:7" ht="25.5">
      <c r="A119" s="78" t="s">
        <v>169</v>
      </c>
      <c r="B119" s="43" t="s">
        <v>44</v>
      </c>
      <c r="C119" s="43" t="s">
        <v>44</v>
      </c>
      <c r="D119" s="43" t="s">
        <v>297</v>
      </c>
      <c r="E119" s="43" t="s">
        <v>171</v>
      </c>
      <c r="F119" s="44" t="e">
        <f>#REF!*105.5%</f>
        <v>#REF!</v>
      </c>
      <c r="G119" s="84" t="e">
        <f>F119*105.5%</f>
        <v>#REF!</v>
      </c>
    </row>
    <row r="120" spans="1:7" ht="25.5" hidden="1" customHeight="1">
      <c r="A120" s="78" t="s">
        <v>205</v>
      </c>
      <c r="B120" s="43" t="s">
        <v>44</v>
      </c>
      <c r="C120" s="43" t="s">
        <v>44</v>
      </c>
      <c r="D120" s="43" t="s">
        <v>297</v>
      </c>
      <c r="E120" s="43" t="s">
        <v>204</v>
      </c>
      <c r="F120" s="44"/>
      <c r="G120" s="84">
        <f>F120*105.5%</f>
        <v>0</v>
      </c>
    </row>
    <row r="121" spans="1:7" ht="38.25">
      <c r="A121" s="78" t="s">
        <v>170</v>
      </c>
      <c r="B121" s="43" t="s">
        <v>44</v>
      </c>
      <c r="C121" s="43" t="s">
        <v>44</v>
      </c>
      <c r="D121" s="43" t="s">
        <v>297</v>
      </c>
      <c r="E121" s="43" t="s">
        <v>168</v>
      </c>
      <c r="F121" s="44" t="e">
        <f>#REF!*105.5%</f>
        <v>#REF!</v>
      </c>
      <c r="G121" s="84" t="e">
        <f>F121*105.5%</f>
        <v>#REF!</v>
      </c>
    </row>
    <row r="122" spans="1:7" ht="38.25">
      <c r="A122" s="78" t="s">
        <v>190</v>
      </c>
      <c r="B122" s="43" t="s">
        <v>44</v>
      </c>
      <c r="C122" s="43" t="s">
        <v>44</v>
      </c>
      <c r="D122" s="43" t="s">
        <v>297</v>
      </c>
      <c r="E122" s="43" t="s">
        <v>189</v>
      </c>
      <c r="F122" s="44" t="e">
        <f>#REF!*105.5%</f>
        <v>#REF!</v>
      </c>
      <c r="G122" s="84" t="e">
        <f>F122*105.5%</f>
        <v>#REF!</v>
      </c>
    </row>
    <row r="123" spans="1:7" ht="25.5">
      <c r="A123" s="78" t="s">
        <v>191</v>
      </c>
      <c r="B123" s="43" t="s">
        <v>44</v>
      </c>
      <c r="C123" s="43" t="s">
        <v>44</v>
      </c>
      <c r="D123" s="43" t="s">
        <v>297</v>
      </c>
      <c r="E123" s="43" t="s">
        <v>192</v>
      </c>
      <c r="F123" s="44" t="e">
        <f>#REF!*105.5%</f>
        <v>#REF!</v>
      </c>
      <c r="G123" s="84" t="e">
        <f>F123*105.5%</f>
        <v>#REF!</v>
      </c>
    </row>
    <row r="124" spans="1:7" ht="20.25" customHeight="1">
      <c r="A124" s="76" t="s">
        <v>63</v>
      </c>
      <c r="B124" s="77" t="s">
        <v>64</v>
      </c>
      <c r="C124" s="77"/>
      <c r="D124" s="77"/>
      <c r="E124" s="77"/>
      <c r="F124" s="86" t="e">
        <f>F137+F158+F161+F167+500000-2665.5-127.2</f>
        <v>#REF!</v>
      </c>
      <c r="G124" s="85">
        <f>1286319.3+500000-1586.5-6023-0.6-410.6</f>
        <v>1778298.5999999999</v>
      </c>
    </row>
    <row r="125" spans="1:7" ht="16.5" customHeight="1">
      <c r="A125" s="102" t="s">
        <v>421</v>
      </c>
      <c r="B125" s="77" t="s">
        <v>64</v>
      </c>
      <c r="C125" s="77" t="s">
        <v>10</v>
      </c>
      <c r="D125" s="43"/>
      <c r="E125" s="43"/>
      <c r="F125" s="86" t="e">
        <f>F126-127.2</f>
        <v>#REF!</v>
      </c>
      <c r="G125" s="85" t="e">
        <f>G126-0.6</f>
        <v>#REF!</v>
      </c>
    </row>
    <row r="126" spans="1:7" ht="18" customHeight="1">
      <c r="A126" s="78" t="s">
        <v>422</v>
      </c>
      <c r="B126" s="43" t="s">
        <v>64</v>
      </c>
      <c r="C126" s="43" t="s">
        <v>10</v>
      </c>
      <c r="D126" s="43" t="s">
        <v>417</v>
      </c>
      <c r="E126" s="43"/>
      <c r="F126" s="100" t="e">
        <f>F127+F133</f>
        <v>#REF!</v>
      </c>
      <c r="G126" s="84" t="e">
        <f>G127+G133</f>
        <v>#REF!</v>
      </c>
    </row>
    <row r="127" spans="1:7" ht="26.25" customHeight="1">
      <c r="A127" s="78" t="s">
        <v>36</v>
      </c>
      <c r="B127" s="43" t="s">
        <v>64</v>
      </c>
      <c r="C127" s="43" t="s">
        <v>10</v>
      </c>
      <c r="D127" s="43" t="s">
        <v>418</v>
      </c>
      <c r="E127" s="43"/>
      <c r="F127" s="100" t="e">
        <f>F128</f>
        <v>#REF!</v>
      </c>
      <c r="G127" s="84" t="e">
        <f>G128</f>
        <v>#REF!</v>
      </c>
    </row>
    <row r="128" spans="1:7" ht="25.5" customHeight="1">
      <c r="A128" s="78" t="s">
        <v>422</v>
      </c>
      <c r="B128" s="43" t="s">
        <v>64</v>
      </c>
      <c r="C128" s="43" t="s">
        <v>10</v>
      </c>
      <c r="D128" s="43" t="s">
        <v>419</v>
      </c>
      <c r="E128" s="43"/>
      <c r="F128" s="100" t="e">
        <f>F129+F130+F131+F132</f>
        <v>#REF!</v>
      </c>
      <c r="G128" s="84" t="e">
        <f>G129+G130+G131+G132</f>
        <v>#REF!</v>
      </c>
    </row>
    <row r="129" spans="1:7" ht="29.25" hidden="1" customHeight="1">
      <c r="A129" s="78" t="s">
        <v>205</v>
      </c>
      <c r="B129" s="43" t="s">
        <v>64</v>
      </c>
      <c r="C129" s="43" t="s">
        <v>10</v>
      </c>
      <c r="D129" s="43" t="s">
        <v>419</v>
      </c>
      <c r="E129" s="43" t="s">
        <v>204</v>
      </c>
      <c r="F129" s="100"/>
      <c r="G129" s="84">
        <f>F129</f>
        <v>0</v>
      </c>
    </row>
    <row r="130" spans="1:7" ht="31.5" customHeight="1">
      <c r="A130" s="78" t="s">
        <v>207</v>
      </c>
      <c r="B130" s="43" t="s">
        <v>64</v>
      </c>
      <c r="C130" s="43" t="s">
        <v>10</v>
      </c>
      <c r="D130" s="43" t="s">
        <v>419</v>
      </c>
      <c r="E130" s="43" t="s">
        <v>168</v>
      </c>
      <c r="F130" s="100" t="e">
        <f>#REF!</f>
        <v>#REF!</v>
      </c>
      <c r="G130" s="84" t="e">
        <f>F130</f>
        <v>#REF!</v>
      </c>
    </row>
    <row r="131" spans="1:7" ht="27" customHeight="1">
      <c r="A131" s="78" t="s">
        <v>380</v>
      </c>
      <c r="B131" s="43" t="s">
        <v>64</v>
      </c>
      <c r="C131" s="43" t="s">
        <v>10</v>
      </c>
      <c r="D131" s="43" t="s">
        <v>419</v>
      </c>
      <c r="E131" s="43" t="s">
        <v>189</v>
      </c>
      <c r="F131" s="100" t="e">
        <f>#REF!</f>
        <v>#REF!</v>
      </c>
      <c r="G131" s="84" t="e">
        <f>F131</f>
        <v>#REF!</v>
      </c>
    </row>
    <row r="132" spans="1:7" ht="27.75" customHeight="1">
      <c r="A132" s="78" t="s">
        <v>206</v>
      </c>
      <c r="B132" s="43" t="s">
        <v>64</v>
      </c>
      <c r="C132" s="43" t="s">
        <v>10</v>
      </c>
      <c r="D132" s="43" t="s">
        <v>419</v>
      </c>
      <c r="E132" s="43" t="s">
        <v>192</v>
      </c>
      <c r="F132" s="100" t="e">
        <f>#REF!</f>
        <v>#REF!</v>
      </c>
      <c r="G132" s="84" t="e">
        <f>F132</f>
        <v>#REF!</v>
      </c>
    </row>
    <row r="133" spans="1:7" ht="27.75" customHeight="1">
      <c r="A133" s="78" t="s">
        <v>263</v>
      </c>
      <c r="B133" s="43" t="s">
        <v>64</v>
      </c>
      <c r="C133" s="43" t="s">
        <v>10</v>
      </c>
      <c r="D133" s="43" t="s">
        <v>420</v>
      </c>
      <c r="E133" s="43"/>
      <c r="F133" s="86" t="e">
        <f>F134+F135+F136</f>
        <v>#REF!</v>
      </c>
      <c r="G133" s="85" t="e">
        <f>G134+G135+G136</f>
        <v>#REF!</v>
      </c>
    </row>
    <row r="134" spans="1:7" ht="22.5" customHeight="1">
      <c r="A134" s="78" t="s">
        <v>209</v>
      </c>
      <c r="B134" s="43" t="s">
        <v>64</v>
      </c>
      <c r="C134" s="43" t="s">
        <v>10</v>
      </c>
      <c r="D134" s="43" t="s">
        <v>420</v>
      </c>
      <c r="E134" s="43" t="s">
        <v>171</v>
      </c>
      <c r="F134" s="100" t="e">
        <f>#REF!</f>
        <v>#REF!</v>
      </c>
      <c r="G134" s="84" t="e">
        <f>F134</f>
        <v>#REF!</v>
      </c>
    </row>
    <row r="135" spans="1:7" ht="25.5" customHeight="1">
      <c r="A135" s="78" t="s">
        <v>221</v>
      </c>
      <c r="B135" s="43" t="s">
        <v>64</v>
      </c>
      <c r="C135" s="43" t="s">
        <v>10</v>
      </c>
      <c r="D135" s="43" t="s">
        <v>420</v>
      </c>
      <c r="E135" s="43" t="s">
        <v>220</v>
      </c>
      <c r="F135" s="100" t="e">
        <f>#REF!</f>
        <v>#REF!</v>
      </c>
      <c r="G135" s="84" t="e">
        <f>F135</f>
        <v>#REF!</v>
      </c>
    </row>
    <row r="136" spans="1:7" ht="33.75" customHeight="1">
      <c r="A136" s="78" t="s">
        <v>207</v>
      </c>
      <c r="B136" s="43" t="s">
        <v>64</v>
      </c>
      <c r="C136" s="43" t="s">
        <v>10</v>
      </c>
      <c r="D136" s="43" t="s">
        <v>420</v>
      </c>
      <c r="E136" s="43" t="s">
        <v>168</v>
      </c>
      <c r="F136" s="100" t="e">
        <f>#REF!</f>
        <v>#REF!</v>
      </c>
      <c r="G136" s="84" t="e">
        <f>F136</f>
        <v>#REF!</v>
      </c>
    </row>
    <row r="137" spans="1:7" ht="21" customHeight="1">
      <c r="A137" s="102" t="s">
        <v>65</v>
      </c>
      <c r="B137" s="77" t="s">
        <v>64</v>
      </c>
      <c r="C137" s="77" t="s">
        <v>50</v>
      </c>
      <c r="D137" s="77"/>
      <c r="E137" s="77"/>
      <c r="F137" s="86" t="e">
        <f>F138+F140+F148+F150</f>
        <v>#REF!</v>
      </c>
      <c r="G137" s="85" t="e">
        <f>G138+G140+G148+G150</f>
        <v>#REF!</v>
      </c>
    </row>
    <row r="138" spans="1:7" ht="50.25" customHeight="1">
      <c r="A138" s="78" t="str">
        <f>'Ведомственная 2015-2016'!A216</f>
        <v>Муниципальная целевая программа "Модернизация школьных и дошкольных учреждений городского округа Нальчик на 2012-2015 годы (средства местного бюджета)</v>
      </c>
      <c r="B138" s="43" t="s">
        <v>64</v>
      </c>
      <c r="C138" s="43" t="s">
        <v>50</v>
      </c>
      <c r="D138" s="43" t="s">
        <v>278</v>
      </c>
      <c r="E138" s="77"/>
      <c r="F138" s="44">
        <f>F139</f>
        <v>123272</v>
      </c>
      <c r="G138" s="44">
        <f>G139</f>
        <v>0</v>
      </c>
    </row>
    <row r="139" spans="1:7" ht="39.75" customHeight="1">
      <c r="A139" s="78" t="s">
        <v>170</v>
      </c>
      <c r="B139" s="43" t="s">
        <v>64</v>
      </c>
      <c r="C139" s="43" t="s">
        <v>50</v>
      </c>
      <c r="D139" s="43" t="s">
        <v>278</v>
      </c>
      <c r="E139" s="43" t="s">
        <v>168</v>
      </c>
      <c r="F139" s="44">
        <v>123272</v>
      </c>
      <c r="G139" s="84">
        <v>0</v>
      </c>
    </row>
    <row r="140" spans="1:7" ht="25.5">
      <c r="A140" s="78" t="s">
        <v>66</v>
      </c>
      <c r="B140" s="43" t="s">
        <v>64</v>
      </c>
      <c r="C140" s="43" t="s">
        <v>50</v>
      </c>
      <c r="D140" s="43" t="s">
        <v>67</v>
      </c>
      <c r="E140" s="43"/>
      <c r="F140" s="44" t="e">
        <f>F141</f>
        <v>#REF!</v>
      </c>
      <c r="G140" s="84">
        <f>G141</f>
        <v>382840.6</v>
      </c>
    </row>
    <row r="141" spans="1:7" ht="25.5">
      <c r="A141" s="78" t="s">
        <v>36</v>
      </c>
      <c r="B141" s="43" t="s">
        <v>64</v>
      </c>
      <c r="C141" s="43" t="s">
        <v>50</v>
      </c>
      <c r="D141" s="43" t="s">
        <v>68</v>
      </c>
      <c r="E141" s="43"/>
      <c r="F141" s="44" t="e">
        <f>F142</f>
        <v>#REF!</v>
      </c>
      <c r="G141" s="84">
        <f>G142</f>
        <v>382840.6</v>
      </c>
    </row>
    <row r="142" spans="1:7" ht="25.5">
      <c r="A142" s="78" t="s">
        <v>36</v>
      </c>
      <c r="B142" s="43" t="s">
        <v>64</v>
      </c>
      <c r="C142" s="43" t="s">
        <v>50</v>
      </c>
      <c r="D142" s="43" t="s">
        <v>69</v>
      </c>
      <c r="E142" s="43"/>
      <c r="F142" s="44" t="e">
        <f>F143+F144+F145+F146+F147</f>
        <v>#REF!</v>
      </c>
      <c r="G142" s="84">
        <v>382840.6</v>
      </c>
    </row>
    <row r="143" spans="1:7" ht="51">
      <c r="A143" s="78" t="s">
        <v>181</v>
      </c>
      <c r="B143" s="43" t="s">
        <v>64</v>
      </c>
      <c r="C143" s="43" t="s">
        <v>50</v>
      </c>
      <c r="D143" s="43" t="s">
        <v>69</v>
      </c>
      <c r="E143" s="43" t="s">
        <v>171</v>
      </c>
      <c r="F143" s="44" t="e">
        <f>#REF!*105.5%</f>
        <v>#REF!</v>
      </c>
      <c r="G143" s="84" t="e">
        <f>F143*105.5%</f>
        <v>#REF!</v>
      </c>
    </row>
    <row r="144" spans="1:7" ht="32.25" hidden="1" customHeight="1">
      <c r="A144" s="78" t="s">
        <v>205</v>
      </c>
      <c r="B144" s="43" t="s">
        <v>64</v>
      </c>
      <c r="C144" s="43" t="s">
        <v>50</v>
      </c>
      <c r="D144" s="43" t="s">
        <v>69</v>
      </c>
      <c r="E144" s="43" t="s">
        <v>204</v>
      </c>
      <c r="F144" s="44"/>
      <c r="G144" s="84">
        <f>F144*105.5%</f>
        <v>0</v>
      </c>
    </row>
    <row r="145" spans="1:7" ht="38.25">
      <c r="A145" s="78" t="s">
        <v>170</v>
      </c>
      <c r="B145" s="43" t="s">
        <v>64</v>
      </c>
      <c r="C145" s="43" t="s">
        <v>50</v>
      </c>
      <c r="D145" s="43" t="s">
        <v>69</v>
      </c>
      <c r="E145" s="43" t="s">
        <v>168</v>
      </c>
      <c r="F145" s="44" t="e">
        <f>#REF!*105.5%</f>
        <v>#REF!</v>
      </c>
      <c r="G145" s="84" t="e">
        <f>F145*105.5%</f>
        <v>#REF!</v>
      </c>
    </row>
    <row r="146" spans="1:7" ht="18.75" customHeight="1">
      <c r="A146" s="78" t="s">
        <v>190</v>
      </c>
      <c r="B146" s="43" t="s">
        <v>64</v>
      </c>
      <c r="C146" s="43" t="s">
        <v>50</v>
      </c>
      <c r="D146" s="43" t="s">
        <v>69</v>
      </c>
      <c r="E146" s="43" t="s">
        <v>189</v>
      </c>
      <c r="F146" s="44" t="e">
        <f>#REF!*105.5%</f>
        <v>#REF!</v>
      </c>
      <c r="G146" s="84" t="e">
        <f>F146*105.5%</f>
        <v>#REF!</v>
      </c>
    </row>
    <row r="147" spans="1:7" ht="18" customHeight="1">
      <c r="A147" s="78" t="s">
        <v>191</v>
      </c>
      <c r="B147" s="43" t="s">
        <v>64</v>
      </c>
      <c r="C147" s="43" t="s">
        <v>50</v>
      </c>
      <c r="D147" s="43" t="s">
        <v>69</v>
      </c>
      <c r="E147" s="43" t="s">
        <v>192</v>
      </c>
      <c r="F147" s="44" t="e">
        <f>#REF!*105.5%</f>
        <v>#REF!</v>
      </c>
      <c r="G147" s="84" t="e">
        <f>F147*105.5%</f>
        <v>#REF!</v>
      </c>
    </row>
    <row r="148" spans="1:7" ht="39.75" customHeight="1">
      <c r="A148" s="78" t="s">
        <v>263</v>
      </c>
      <c r="B148" s="43" t="s">
        <v>64</v>
      </c>
      <c r="C148" s="43" t="s">
        <v>50</v>
      </c>
      <c r="D148" s="43" t="s">
        <v>262</v>
      </c>
      <c r="E148" s="43"/>
      <c r="F148" s="44">
        <f>F149</f>
        <v>779328.8</v>
      </c>
      <c r="G148" s="84">
        <f>G149</f>
        <v>779328.8</v>
      </c>
    </row>
    <row r="149" spans="1:7" ht="15.75" customHeight="1">
      <c r="A149" s="78" t="s">
        <v>209</v>
      </c>
      <c r="B149" s="43" t="s">
        <v>64</v>
      </c>
      <c r="C149" s="43" t="s">
        <v>50</v>
      </c>
      <c r="D149" s="43" t="s">
        <v>262</v>
      </c>
      <c r="E149" s="43" t="s">
        <v>171</v>
      </c>
      <c r="F149" s="44">
        <f>'Ведомственная 2015-2016'!G227</f>
        <v>779328.8</v>
      </c>
      <c r="G149" s="84">
        <f>'Ведомственная 2015-2016'!H227</f>
        <v>779328.8</v>
      </c>
    </row>
    <row r="150" spans="1:7" ht="20.25" customHeight="1">
      <c r="A150" s="78" t="s">
        <v>70</v>
      </c>
      <c r="B150" s="43" t="s">
        <v>64</v>
      </c>
      <c r="C150" s="43" t="s">
        <v>50</v>
      </c>
      <c r="D150" s="43"/>
      <c r="E150" s="43"/>
      <c r="F150" s="44" t="e">
        <f>F151</f>
        <v>#REF!</v>
      </c>
      <c r="G150" s="84" t="e">
        <f>F150*105.5%</f>
        <v>#REF!</v>
      </c>
    </row>
    <row r="151" spans="1:7" ht="27" customHeight="1">
      <c r="A151" s="78" t="s">
        <v>36</v>
      </c>
      <c r="B151" s="43" t="s">
        <v>64</v>
      </c>
      <c r="C151" s="43" t="s">
        <v>50</v>
      </c>
      <c r="D151" s="43" t="s">
        <v>72</v>
      </c>
      <c r="E151" s="43"/>
      <c r="F151" s="44" t="e">
        <f>F152+F153+F154+F155+F156+F157</f>
        <v>#REF!</v>
      </c>
      <c r="G151" s="84" t="e">
        <f>G152+G153+G154+G155+G156+G157</f>
        <v>#REF!</v>
      </c>
    </row>
    <row r="152" spans="1:7" ht="21.75" customHeight="1">
      <c r="A152" s="78" t="s">
        <v>169</v>
      </c>
      <c r="B152" s="43" t="s">
        <v>64</v>
      </c>
      <c r="C152" s="43" t="s">
        <v>50</v>
      </c>
      <c r="D152" s="43" t="s">
        <v>73</v>
      </c>
      <c r="E152" s="43" t="s">
        <v>171</v>
      </c>
      <c r="F152" s="44" t="e">
        <f>#REF!*105.5%</f>
        <v>#REF!</v>
      </c>
      <c r="G152" s="84" t="e">
        <f t="shared" ref="G152:G157" si="6">F152*105.5%</f>
        <v>#REF!</v>
      </c>
    </row>
    <row r="153" spans="1:7" ht="30" customHeight="1">
      <c r="A153" s="78" t="s">
        <v>221</v>
      </c>
      <c r="B153" s="43" t="s">
        <v>64</v>
      </c>
      <c r="C153" s="43" t="s">
        <v>50</v>
      </c>
      <c r="D153" s="43" t="s">
        <v>73</v>
      </c>
      <c r="E153" s="43" t="s">
        <v>220</v>
      </c>
      <c r="F153" s="44" t="e">
        <f>#REF!*105.5%</f>
        <v>#REF!</v>
      </c>
      <c r="G153" s="84" t="e">
        <f t="shared" si="6"/>
        <v>#REF!</v>
      </c>
    </row>
    <row r="154" spans="1:7" ht="32.25" customHeight="1">
      <c r="A154" s="78" t="s">
        <v>205</v>
      </c>
      <c r="B154" s="43" t="s">
        <v>64</v>
      </c>
      <c r="C154" s="43" t="s">
        <v>50</v>
      </c>
      <c r="D154" s="43" t="s">
        <v>73</v>
      </c>
      <c r="E154" s="43" t="s">
        <v>204</v>
      </c>
      <c r="F154" s="44"/>
      <c r="G154" s="84">
        <f t="shared" si="6"/>
        <v>0</v>
      </c>
    </row>
    <row r="155" spans="1:7" ht="33" customHeight="1">
      <c r="A155" s="78" t="s">
        <v>170</v>
      </c>
      <c r="B155" s="43" t="s">
        <v>64</v>
      </c>
      <c r="C155" s="43" t="s">
        <v>50</v>
      </c>
      <c r="D155" s="43" t="s">
        <v>73</v>
      </c>
      <c r="E155" s="43" t="s">
        <v>168</v>
      </c>
      <c r="F155" s="44" t="e">
        <f>#REF!*105.5%</f>
        <v>#REF!</v>
      </c>
      <c r="G155" s="84" t="e">
        <f t="shared" si="6"/>
        <v>#REF!</v>
      </c>
    </row>
    <row r="156" spans="1:7" ht="31.5" customHeight="1">
      <c r="A156" s="78" t="s">
        <v>190</v>
      </c>
      <c r="B156" s="43" t="s">
        <v>64</v>
      </c>
      <c r="C156" s="43" t="s">
        <v>50</v>
      </c>
      <c r="D156" s="43" t="s">
        <v>73</v>
      </c>
      <c r="E156" s="43" t="s">
        <v>189</v>
      </c>
      <c r="F156" s="44" t="e">
        <f>#REF!*105.5%</f>
        <v>#REF!</v>
      </c>
      <c r="G156" s="84" t="e">
        <f t="shared" si="6"/>
        <v>#REF!</v>
      </c>
    </row>
    <row r="157" spans="1:7" ht="27" customHeight="1">
      <c r="A157" s="78" t="s">
        <v>191</v>
      </c>
      <c r="B157" s="43" t="s">
        <v>64</v>
      </c>
      <c r="C157" s="43" t="s">
        <v>50</v>
      </c>
      <c r="D157" s="43" t="s">
        <v>73</v>
      </c>
      <c r="E157" s="43" t="s">
        <v>192</v>
      </c>
      <c r="F157" s="44" t="e">
        <f>#REF!*105.5%</f>
        <v>#REF!</v>
      </c>
      <c r="G157" s="84" t="e">
        <f t="shared" si="6"/>
        <v>#REF!</v>
      </c>
    </row>
    <row r="158" spans="1:7" ht="27" customHeight="1">
      <c r="A158" s="102" t="s">
        <v>445</v>
      </c>
      <c r="B158" s="77" t="s">
        <v>64</v>
      </c>
      <c r="C158" s="77" t="s">
        <v>44</v>
      </c>
      <c r="D158" s="43"/>
      <c r="E158" s="43"/>
      <c r="F158" s="74">
        <f>F159</f>
        <v>400</v>
      </c>
      <c r="G158" s="84">
        <v>0</v>
      </c>
    </row>
    <row r="159" spans="1:7" ht="27" customHeight="1">
      <c r="A159" s="78" t="s">
        <v>336</v>
      </c>
      <c r="B159" s="43" t="s">
        <v>64</v>
      </c>
      <c r="C159" s="43" t="s">
        <v>44</v>
      </c>
      <c r="D159" s="43" t="s">
        <v>399</v>
      </c>
      <c r="E159" s="43"/>
      <c r="F159" s="44">
        <f>F160</f>
        <v>400</v>
      </c>
      <c r="G159" s="84">
        <v>0</v>
      </c>
    </row>
    <row r="160" spans="1:7" ht="27" customHeight="1">
      <c r="A160" s="78" t="s">
        <v>207</v>
      </c>
      <c r="B160" s="43" t="s">
        <v>64</v>
      </c>
      <c r="C160" s="43" t="s">
        <v>44</v>
      </c>
      <c r="D160" s="43" t="s">
        <v>399</v>
      </c>
      <c r="E160" s="43" t="s">
        <v>168</v>
      </c>
      <c r="F160" s="44">
        <v>400</v>
      </c>
      <c r="G160" s="84">
        <v>0</v>
      </c>
    </row>
    <row r="161" spans="1:7" ht="26.25" customHeight="1">
      <c r="A161" s="102" t="s">
        <v>370</v>
      </c>
      <c r="B161" s="77" t="s">
        <v>64</v>
      </c>
      <c r="C161" s="77" t="s">
        <v>64</v>
      </c>
      <c r="D161" s="77"/>
      <c r="E161" s="77"/>
      <c r="F161" s="86">
        <f>F162</f>
        <v>925</v>
      </c>
      <c r="G161" s="85">
        <f>G162</f>
        <v>75</v>
      </c>
    </row>
    <row r="162" spans="1:7" ht="28.5" customHeight="1">
      <c r="A162" s="78" t="s">
        <v>29</v>
      </c>
      <c r="B162" s="43" t="s">
        <v>64</v>
      </c>
      <c r="C162" s="43" t="s">
        <v>64</v>
      </c>
      <c r="D162" s="43"/>
      <c r="E162" s="43"/>
      <c r="F162" s="100">
        <f>F163+F165</f>
        <v>925</v>
      </c>
      <c r="G162" s="84">
        <f>G163+G165</f>
        <v>75</v>
      </c>
    </row>
    <row r="163" spans="1:7" ht="60" customHeight="1">
      <c r="A163" s="78" t="s">
        <v>423</v>
      </c>
      <c r="B163" s="43" t="s">
        <v>64</v>
      </c>
      <c r="C163" s="43" t="s">
        <v>64</v>
      </c>
      <c r="D163" s="43" t="s">
        <v>425</v>
      </c>
      <c r="E163" s="43"/>
      <c r="F163" s="100">
        <f>F164</f>
        <v>75</v>
      </c>
      <c r="G163" s="84">
        <f>G164</f>
        <v>75</v>
      </c>
    </row>
    <row r="164" spans="1:7" ht="36.75" customHeight="1">
      <c r="A164" s="78" t="s">
        <v>207</v>
      </c>
      <c r="B164" s="43" t="s">
        <v>64</v>
      </c>
      <c r="C164" s="43" t="s">
        <v>64</v>
      </c>
      <c r="D164" s="43" t="s">
        <v>425</v>
      </c>
      <c r="E164" s="43" t="s">
        <v>168</v>
      </c>
      <c r="F164" s="100">
        <f>'Ведомственная 2015-2016'!G244</f>
        <v>75</v>
      </c>
      <c r="G164" s="84">
        <f>F164</f>
        <v>75</v>
      </c>
    </row>
    <row r="165" spans="1:7" ht="27.75" customHeight="1">
      <c r="A165" s="78" t="str">
        <f>'Ведомственная 2015-2016'!A90</f>
        <v>Городская целевая программа "Молодежь городского округа  Нальчик на 2012-2015 годы"</v>
      </c>
      <c r="B165" s="43" t="s">
        <v>64</v>
      </c>
      <c r="C165" s="43" t="s">
        <v>64</v>
      </c>
      <c r="D165" s="43" t="s">
        <v>394</v>
      </c>
      <c r="E165" s="43"/>
      <c r="F165" s="100">
        <f>F166</f>
        <v>850</v>
      </c>
      <c r="G165" s="84">
        <f>G166</f>
        <v>0</v>
      </c>
    </row>
    <row r="166" spans="1:7" ht="38.25">
      <c r="A166" s="78" t="s">
        <v>170</v>
      </c>
      <c r="B166" s="43" t="s">
        <v>64</v>
      </c>
      <c r="C166" s="43" t="s">
        <v>64</v>
      </c>
      <c r="D166" s="43" t="s">
        <v>394</v>
      </c>
      <c r="E166" s="43" t="s">
        <v>168</v>
      </c>
      <c r="F166" s="100">
        <f>'Ведомственная 2015-2016'!G91</f>
        <v>850</v>
      </c>
      <c r="G166" s="84">
        <v>0</v>
      </c>
    </row>
    <row r="167" spans="1:7" ht="21" customHeight="1">
      <c r="A167" s="102" t="s">
        <v>75</v>
      </c>
      <c r="B167" s="77" t="s">
        <v>64</v>
      </c>
      <c r="C167" s="77" t="s">
        <v>33</v>
      </c>
      <c r="D167" s="77"/>
      <c r="E167" s="77"/>
      <c r="F167" s="74" t="e">
        <f>F168+F170</f>
        <v>#REF!</v>
      </c>
      <c r="G167" s="85" t="e">
        <f>F167*105%</f>
        <v>#REF!</v>
      </c>
    </row>
    <row r="168" spans="1:7" ht="48.75" customHeight="1">
      <c r="A168" s="78" t="str">
        <f>'Ведомственная 2015-2016'!A246</f>
        <v>Учреждения,обеспечивающие предоставления услуг в сфере образования (обеспечение деятельности (оказание услуг) подведомственных учреждений)</v>
      </c>
      <c r="B168" s="43" t="s">
        <v>64</v>
      </c>
      <c r="C168" s="43" t="s">
        <v>33</v>
      </c>
      <c r="D168" s="43" t="s">
        <v>327</v>
      </c>
      <c r="E168" s="77"/>
      <c r="F168" s="44" t="e">
        <f>F169</f>
        <v>#REF!</v>
      </c>
      <c r="G168" s="84" t="e">
        <f>G169</f>
        <v>#REF!</v>
      </c>
    </row>
    <row r="169" spans="1:7" ht="57" customHeight="1">
      <c r="A169" s="78" t="str">
        <f>'Ведомственная 2015-2016'!A247</f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 услуг (выполнение работ)</v>
      </c>
      <c r="B169" s="43" t="s">
        <v>64</v>
      </c>
      <c r="C169" s="43" t="s">
        <v>33</v>
      </c>
      <c r="D169" s="43" t="s">
        <v>327</v>
      </c>
      <c r="E169" s="43" t="s">
        <v>183</v>
      </c>
      <c r="F169" s="44" t="e">
        <f>#REF!*105.5%</f>
        <v>#REF!</v>
      </c>
      <c r="G169" s="84" t="e">
        <f>F169*105.5%</f>
        <v>#REF!</v>
      </c>
    </row>
    <row r="170" spans="1:7" ht="63.75">
      <c r="A170" s="78" t="s">
        <v>77</v>
      </c>
      <c r="B170" s="43" t="s">
        <v>64</v>
      </c>
      <c r="C170" s="43" t="s">
        <v>33</v>
      </c>
      <c r="D170" s="43" t="s">
        <v>78</v>
      </c>
      <c r="E170" s="43"/>
      <c r="F170" s="44" t="e">
        <f>F171</f>
        <v>#REF!</v>
      </c>
      <c r="G170" s="84" t="e">
        <f t="shared" ref="G170:G177" si="7">F170*105%</f>
        <v>#REF!</v>
      </c>
    </row>
    <row r="171" spans="1:7" ht="25.5">
      <c r="A171" s="78" t="s">
        <v>36</v>
      </c>
      <c r="B171" s="43" t="s">
        <v>64</v>
      </c>
      <c r="C171" s="43" t="s">
        <v>33</v>
      </c>
      <c r="D171" s="43" t="s">
        <v>79</v>
      </c>
      <c r="E171" s="43"/>
      <c r="F171" s="44" t="e">
        <f>F172</f>
        <v>#REF!</v>
      </c>
      <c r="G171" s="84" t="e">
        <f t="shared" si="7"/>
        <v>#REF!</v>
      </c>
    </row>
    <row r="172" spans="1:7" ht="25.5">
      <c r="A172" s="78" t="s">
        <v>36</v>
      </c>
      <c r="B172" s="43" t="s">
        <v>64</v>
      </c>
      <c r="C172" s="43" t="s">
        <v>33</v>
      </c>
      <c r="D172" s="43" t="s">
        <v>79</v>
      </c>
      <c r="E172" s="43"/>
      <c r="F172" s="44" t="e">
        <f>F173+F174+F175+F176+F177</f>
        <v>#REF!</v>
      </c>
      <c r="G172" s="84" t="e">
        <f t="shared" si="7"/>
        <v>#REF!</v>
      </c>
    </row>
    <row r="173" spans="1:7" ht="25.5">
      <c r="A173" s="78" t="s">
        <v>169</v>
      </c>
      <c r="B173" s="43" t="s">
        <v>64</v>
      </c>
      <c r="C173" s="43" t="s">
        <v>33</v>
      </c>
      <c r="D173" s="43" t="s">
        <v>79</v>
      </c>
      <c r="E173" s="43" t="s">
        <v>171</v>
      </c>
      <c r="F173" s="44">
        <f>'Ведомственная 2015-2016'!G250</f>
        <v>10909.754999999999</v>
      </c>
      <c r="G173" s="84">
        <f t="shared" si="7"/>
        <v>11455.242749999999</v>
      </c>
    </row>
    <row r="174" spans="1:7" ht="38.25">
      <c r="A174" s="78" t="s">
        <v>170</v>
      </c>
      <c r="B174" s="43" t="s">
        <v>64</v>
      </c>
      <c r="C174" s="43" t="s">
        <v>33</v>
      </c>
      <c r="D174" s="43" t="s">
        <v>79</v>
      </c>
      <c r="E174" s="43" t="s">
        <v>168</v>
      </c>
      <c r="F174" s="44">
        <f>'Ведомственная 2015-2016'!G251</f>
        <v>1504.3244999999999</v>
      </c>
      <c r="G174" s="84">
        <f t="shared" si="7"/>
        <v>1579.5407250000001</v>
      </c>
    </row>
    <row r="175" spans="1:7" ht="76.5">
      <c r="A175" s="78" t="str">
        <f>'Ведомственная 2015-2016'!A252</f>
        <v>Исполнение судебных актов Российской Федерации и мировых соглашений по возмещению вреда, причиненного в результате незаконных действий(бездействия) органов государственной власти либо должностных лиц этих органов, а также в результате деятельности казенных учреждений</v>
      </c>
      <c r="B175" s="43" t="s">
        <v>64</v>
      </c>
      <c r="C175" s="43" t="s">
        <v>33</v>
      </c>
      <c r="D175" s="43" t="s">
        <v>79</v>
      </c>
      <c r="E175" s="43" t="s">
        <v>217</v>
      </c>
      <c r="F175" s="44">
        <f>'Ведомственная 2015-2016'!G252</f>
        <v>644.81600000000003</v>
      </c>
      <c r="G175" s="84">
        <f t="shared" si="7"/>
        <v>677.05680000000007</v>
      </c>
    </row>
    <row r="176" spans="1:7" ht="25.5">
      <c r="A176" s="78" t="str">
        <f>'Ведомственная 2015-2016'!A253</f>
        <v>Уплата налога на имущество организаций
и земельного налога</v>
      </c>
      <c r="B176" s="43" t="s">
        <v>64</v>
      </c>
      <c r="C176" s="43" t="s">
        <v>33</v>
      </c>
      <c r="D176" s="43" t="s">
        <v>79</v>
      </c>
      <c r="E176" s="43" t="s">
        <v>189</v>
      </c>
      <c r="F176" s="44" t="e">
        <f>'Ведомственная 2015-2016'!G253</f>
        <v>#REF!</v>
      </c>
      <c r="G176" s="84" t="e">
        <f t="shared" si="7"/>
        <v>#REF!</v>
      </c>
    </row>
    <row r="177" spans="1:7" ht="20.25" customHeight="1">
      <c r="A177" s="78" t="str">
        <f>'Ведомственная 2015-2016'!A254</f>
        <v>Уплата прочих налогов, сборов и иных платежей</v>
      </c>
      <c r="B177" s="43" t="s">
        <v>64</v>
      </c>
      <c r="C177" s="43" t="s">
        <v>33</v>
      </c>
      <c r="D177" s="43" t="s">
        <v>79</v>
      </c>
      <c r="E177" s="43" t="s">
        <v>192</v>
      </c>
      <c r="F177" s="44" t="e">
        <f>'Ведомственная 2015-2016'!G254</f>
        <v>#REF!</v>
      </c>
      <c r="G177" s="84" t="e">
        <f t="shared" si="7"/>
        <v>#REF!</v>
      </c>
    </row>
    <row r="178" spans="1:7" ht="20.25" customHeight="1">
      <c r="A178" s="76" t="s">
        <v>143</v>
      </c>
      <c r="B178" s="77" t="s">
        <v>81</v>
      </c>
      <c r="C178" s="77"/>
      <c r="D178" s="86"/>
      <c r="E178" s="77"/>
      <c r="F178" s="74" t="e">
        <f>F179+F197</f>
        <v>#REF!</v>
      </c>
      <c r="G178" s="85" t="e">
        <f>G179+G197</f>
        <v>#REF!</v>
      </c>
    </row>
    <row r="179" spans="1:7" ht="21.75" customHeight="1">
      <c r="A179" s="76" t="s">
        <v>82</v>
      </c>
      <c r="B179" s="77" t="s">
        <v>81</v>
      </c>
      <c r="C179" s="77" t="s">
        <v>10</v>
      </c>
      <c r="D179" s="86"/>
      <c r="E179" s="77"/>
      <c r="F179" s="74" t="e">
        <f>F180+F182+F192</f>
        <v>#REF!</v>
      </c>
      <c r="G179" s="85" t="e">
        <f>G180+G182+G192</f>
        <v>#REF!</v>
      </c>
    </row>
    <row r="180" spans="1:7" ht="37.5" customHeight="1">
      <c r="A180" s="78" t="s">
        <v>272</v>
      </c>
      <c r="B180" s="43" t="s">
        <v>81</v>
      </c>
      <c r="C180" s="43" t="s">
        <v>10</v>
      </c>
      <c r="D180" s="43" t="s">
        <v>153</v>
      </c>
      <c r="E180" s="43"/>
      <c r="F180" s="44">
        <f>F181</f>
        <v>5500</v>
      </c>
      <c r="G180" s="84">
        <f>G181</f>
        <v>0</v>
      </c>
    </row>
    <row r="181" spans="1:7" ht="38.25">
      <c r="A181" s="78" t="s">
        <v>170</v>
      </c>
      <c r="B181" s="43" t="s">
        <v>81</v>
      </c>
      <c r="C181" s="43" t="s">
        <v>10</v>
      </c>
      <c r="D181" s="43" t="s">
        <v>153</v>
      </c>
      <c r="E181" s="43" t="s">
        <v>168</v>
      </c>
      <c r="F181" s="44">
        <f>'Ведомственная 2015-2016'!G161</f>
        <v>5500</v>
      </c>
      <c r="G181" s="84">
        <v>0</v>
      </c>
    </row>
    <row r="182" spans="1:7" ht="25.5">
      <c r="A182" s="78" t="s">
        <v>36</v>
      </c>
      <c r="B182" s="43" t="s">
        <v>81</v>
      </c>
      <c r="C182" s="43" t="s">
        <v>10</v>
      </c>
      <c r="D182" s="43" t="s">
        <v>83</v>
      </c>
      <c r="E182" s="43"/>
      <c r="F182" s="44" t="e">
        <f>F183</f>
        <v>#REF!</v>
      </c>
      <c r="G182" s="84" t="e">
        <f>F182*105%</f>
        <v>#REF!</v>
      </c>
    </row>
    <row r="183" spans="1:7" ht="25.5">
      <c r="A183" s="78" t="s">
        <v>36</v>
      </c>
      <c r="B183" s="43" t="s">
        <v>81</v>
      </c>
      <c r="C183" s="43" t="s">
        <v>10</v>
      </c>
      <c r="D183" s="43" t="s">
        <v>83</v>
      </c>
      <c r="E183" s="43"/>
      <c r="F183" s="44" t="e">
        <f>F184+F185+F186+F187+F189+F190+F191</f>
        <v>#REF!</v>
      </c>
      <c r="G183" s="84" t="e">
        <f t="shared" ref="G183:G190" si="8">F183*105.5%</f>
        <v>#REF!</v>
      </c>
    </row>
    <row r="184" spans="1:7" ht="25.5">
      <c r="A184" s="78" t="s">
        <v>169</v>
      </c>
      <c r="B184" s="43" t="s">
        <v>81</v>
      </c>
      <c r="C184" s="43" t="s">
        <v>10</v>
      </c>
      <c r="D184" s="43" t="s">
        <v>83</v>
      </c>
      <c r="E184" s="43" t="s">
        <v>171</v>
      </c>
      <c r="F184" s="44" t="e">
        <f>#REF!*105.5%</f>
        <v>#REF!</v>
      </c>
      <c r="G184" s="84" t="e">
        <f t="shared" si="8"/>
        <v>#REF!</v>
      </c>
    </row>
    <row r="185" spans="1:7" ht="25.5">
      <c r="A185" s="78" t="s">
        <v>221</v>
      </c>
      <c r="B185" s="43" t="s">
        <v>81</v>
      </c>
      <c r="C185" s="43" t="s">
        <v>10</v>
      </c>
      <c r="D185" s="43" t="s">
        <v>83</v>
      </c>
      <c r="E185" s="43" t="s">
        <v>220</v>
      </c>
      <c r="F185" s="44" t="e">
        <f>#REF!*105.5%</f>
        <v>#REF!</v>
      </c>
      <c r="G185" s="84" t="e">
        <f t="shared" si="8"/>
        <v>#REF!</v>
      </c>
    </row>
    <row r="186" spans="1:7" ht="34.5" hidden="1" customHeight="1">
      <c r="A186" s="78" t="s">
        <v>205</v>
      </c>
      <c r="B186" s="43" t="s">
        <v>81</v>
      </c>
      <c r="C186" s="43" t="s">
        <v>10</v>
      </c>
      <c r="D186" s="43" t="s">
        <v>83</v>
      </c>
      <c r="E186" s="43" t="s">
        <v>204</v>
      </c>
      <c r="F186" s="44"/>
      <c r="G186" s="84">
        <f t="shared" si="8"/>
        <v>0</v>
      </c>
    </row>
    <row r="187" spans="1:7" ht="38.25">
      <c r="A187" s="78" t="s">
        <v>170</v>
      </c>
      <c r="B187" s="43" t="s">
        <v>81</v>
      </c>
      <c r="C187" s="43" t="s">
        <v>10</v>
      </c>
      <c r="D187" s="43" t="s">
        <v>83</v>
      </c>
      <c r="E187" s="43" t="s">
        <v>168</v>
      </c>
      <c r="F187" s="44" t="e">
        <f>#REF!*105.5%</f>
        <v>#REF!</v>
      </c>
      <c r="G187" s="84" t="e">
        <f t="shared" si="8"/>
        <v>#REF!</v>
      </c>
    </row>
    <row r="188" spans="1:7" ht="51">
      <c r="A188" s="78" t="s">
        <v>185</v>
      </c>
      <c r="B188" s="43" t="s">
        <v>81</v>
      </c>
      <c r="C188" s="43" t="s">
        <v>10</v>
      </c>
      <c r="D188" s="43" t="s">
        <v>83</v>
      </c>
      <c r="E188" s="43" t="s">
        <v>184</v>
      </c>
      <c r="F188" s="44" t="e">
        <f>#REF!*105.5%</f>
        <v>#REF!</v>
      </c>
      <c r="G188" s="84" t="e">
        <f t="shared" si="8"/>
        <v>#REF!</v>
      </c>
    </row>
    <row r="189" spans="1:7" ht="63.75">
      <c r="A189" s="78" t="s">
        <v>384</v>
      </c>
      <c r="B189" s="43" t="s">
        <v>81</v>
      </c>
      <c r="C189" s="43" t="s">
        <v>10</v>
      </c>
      <c r="D189" s="43" t="s">
        <v>83</v>
      </c>
      <c r="E189" s="43" t="s">
        <v>183</v>
      </c>
      <c r="F189" s="44" t="e">
        <f>#REF!*105.5%</f>
        <v>#REF!</v>
      </c>
      <c r="G189" s="84" t="e">
        <f t="shared" si="8"/>
        <v>#REF!</v>
      </c>
    </row>
    <row r="190" spans="1:7" ht="78" customHeight="1">
      <c r="A190" s="78" t="s">
        <v>367</v>
      </c>
      <c r="B190" s="43" t="s">
        <v>81</v>
      </c>
      <c r="C190" s="43" t="s">
        <v>10</v>
      </c>
      <c r="D190" s="43" t="s">
        <v>83</v>
      </c>
      <c r="E190" s="43" t="s">
        <v>217</v>
      </c>
      <c r="F190" s="44" t="e">
        <f>#REF!*105.5%</f>
        <v>#REF!</v>
      </c>
      <c r="G190" s="84" t="e">
        <f t="shared" si="8"/>
        <v>#REF!</v>
      </c>
    </row>
    <row r="191" spans="1:7" ht="31.5" customHeight="1">
      <c r="A191" s="78" t="s">
        <v>190</v>
      </c>
      <c r="B191" s="43" t="s">
        <v>81</v>
      </c>
      <c r="C191" s="43" t="s">
        <v>10</v>
      </c>
      <c r="D191" s="43" t="s">
        <v>83</v>
      </c>
      <c r="E191" s="43" t="s">
        <v>189</v>
      </c>
      <c r="F191" s="44" t="e">
        <f>#REF!*105.5%</f>
        <v>#REF!</v>
      </c>
      <c r="G191" s="84" t="e">
        <f>F191*105%</f>
        <v>#REF!</v>
      </c>
    </row>
    <row r="192" spans="1:7" ht="20.25" customHeight="1">
      <c r="A192" s="78" t="s">
        <v>84</v>
      </c>
      <c r="B192" s="43" t="s">
        <v>81</v>
      </c>
      <c r="C192" s="43" t="s">
        <v>10</v>
      </c>
      <c r="D192" s="43" t="s">
        <v>85</v>
      </c>
      <c r="E192" s="43"/>
      <c r="F192" s="44" t="e">
        <f>F193</f>
        <v>#REF!</v>
      </c>
      <c r="G192" s="84" t="e">
        <f>F192*105%</f>
        <v>#REF!</v>
      </c>
    </row>
    <row r="193" spans="1:9" ht="36" customHeight="1">
      <c r="A193" s="78" t="s">
        <v>36</v>
      </c>
      <c r="B193" s="43" t="s">
        <v>81</v>
      </c>
      <c r="C193" s="43" t="s">
        <v>10</v>
      </c>
      <c r="D193" s="43" t="s">
        <v>86</v>
      </c>
      <c r="E193" s="43"/>
      <c r="F193" s="44" t="e">
        <f>F194+F195+F196</f>
        <v>#REF!</v>
      </c>
      <c r="G193" s="84" t="e">
        <f>F193*105%</f>
        <v>#REF!</v>
      </c>
    </row>
    <row r="194" spans="1:9" ht="19.5" customHeight="1">
      <c r="A194" s="78" t="s">
        <v>169</v>
      </c>
      <c r="B194" s="43" t="s">
        <v>81</v>
      </c>
      <c r="C194" s="43" t="s">
        <v>10</v>
      </c>
      <c r="D194" s="43" t="s">
        <v>86</v>
      </c>
      <c r="E194" s="43" t="s">
        <v>171</v>
      </c>
      <c r="F194" s="44" t="e">
        <f>#REF!*105.5%</f>
        <v>#REF!</v>
      </c>
      <c r="G194" s="84" t="e">
        <f>F194*105.5%</f>
        <v>#REF!</v>
      </c>
    </row>
    <row r="195" spans="1:9" ht="33" hidden="1" customHeight="1">
      <c r="A195" s="78" t="s">
        <v>205</v>
      </c>
      <c r="B195" s="43" t="s">
        <v>81</v>
      </c>
      <c r="C195" s="43" t="s">
        <v>10</v>
      </c>
      <c r="D195" s="43" t="s">
        <v>86</v>
      </c>
      <c r="E195" s="43" t="s">
        <v>204</v>
      </c>
      <c r="F195" s="44"/>
      <c r="G195" s="84">
        <f>F195*105.5%</f>
        <v>0</v>
      </c>
    </row>
    <row r="196" spans="1:9" ht="26.25" customHeight="1">
      <c r="A196" s="78" t="s">
        <v>170</v>
      </c>
      <c r="B196" s="43" t="s">
        <v>81</v>
      </c>
      <c r="C196" s="43" t="s">
        <v>10</v>
      </c>
      <c r="D196" s="43" t="s">
        <v>86</v>
      </c>
      <c r="E196" s="43" t="s">
        <v>168</v>
      </c>
      <c r="F196" s="44" t="e">
        <f>#REF!*105.5%</f>
        <v>#REF!</v>
      </c>
      <c r="G196" s="84" t="e">
        <f>F196*105.5%</f>
        <v>#REF!</v>
      </c>
    </row>
    <row r="197" spans="1:9" ht="31.5" customHeight="1">
      <c r="A197" s="76" t="str">
        <f>прил.4!A243</f>
        <v>Другие вопросы в области  культуры и кинематографии</v>
      </c>
      <c r="B197" s="77" t="s">
        <v>81</v>
      </c>
      <c r="C197" s="77" t="s">
        <v>19</v>
      </c>
      <c r="D197" s="77"/>
      <c r="E197" s="77"/>
      <c r="F197" s="74" t="e">
        <f>F198</f>
        <v>#REF!</v>
      </c>
      <c r="G197" s="85" t="e">
        <f>F197*105%</f>
        <v>#REF!</v>
      </c>
    </row>
    <row r="198" spans="1:9" ht="60" customHeight="1">
      <c r="A198" s="78" t="s">
        <v>77</v>
      </c>
      <c r="B198" s="43" t="s">
        <v>81</v>
      </c>
      <c r="C198" s="43" t="s">
        <v>19</v>
      </c>
      <c r="D198" s="43" t="s">
        <v>78</v>
      </c>
      <c r="E198" s="77"/>
      <c r="F198" s="44" t="e">
        <f>F199</f>
        <v>#REF!</v>
      </c>
      <c r="G198" s="84" t="e">
        <f>F198*105%</f>
        <v>#REF!</v>
      </c>
    </row>
    <row r="199" spans="1:9" ht="29.25" customHeight="1">
      <c r="A199" s="48" t="s">
        <v>36</v>
      </c>
      <c r="B199" s="43" t="s">
        <v>81</v>
      </c>
      <c r="C199" s="43" t="s">
        <v>19</v>
      </c>
      <c r="D199" s="43" t="s">
        <v>79</v>
      </c>
      <c r="E199" s="77"/>
      <c r="F199" s="44" t="e">
        <f>F200</f>
        <v>#REF!</v>
      </c>
      <c r="G199" s="84" t="e">
        <f>F199*105%</f>
        <v>#REF!</v>
      </c>
    </row>
    <row r="200" spans="1:9" ht="28.5" customHeight="1">
      <c r="A200" s="48" t="s">
        <v>36</v>
      </c>
      <c r="B200" s="43" t="s">
        <v>81</v>
      </c>
      <c r="C200" s="43" t="s">
        <v>19</v>
      </c>
      <c r="D200" s="43" t="s">
        <v>79</v>
      </c>
      <c r="E200" s="43"/>
      <c r="F200" s="44" t="e">
        <f>F201+F202+F203+F204</f>
        <v>#REF!</v>
      </c>
      <c r="G200" s="84" t="e">
        <f>F200*105%</f>
        <v>#REF!</v>
      </c>
    </row>
    <row r="201" spans="1:9" ht="25.5">
      <c r="A201" s="78" t="s">
        <v>169</v>
      </c>
      <c r="B201" s="43" t="s">
        <v>81</v>
      </c>
      <c r="C201" s="43" t="s">
        <v>19</v>
      </c>
      <c r="D201" s="43" t="s">
        <v>79</v>
      </c>
      <c r="E201" s="43" t="s">
        <v>171</v>
      </c>
      <c r="F201" s="44" t="e">
        <f>#REF!*105.5%</f>
        <v>#REF!</v>
      </c>
      <c r="G201" s="84" t="e">
        <f>F201*105.5%</f>
        <v>#REF!</v>
      </c>
    </row>
    <row r="202" spans="1:9" ht="27" hidden="1" customHeight="1">
      <c r="A202" s="78" t="s">
        <v>205</v>
      </c>
      <c r="B202" s="43" t="s">
        <v>81</v>
      </c>
      <c r="C202" s="43" t="s">
        <v>19</v>
      </c>
      <c r="D202" s="43" t="s">
        <v>79</v>
      </c>
      <c r="E202" s="43" t="s">
        <v>204</v>
      </c>
      <c r="F202" s="44"/>
      <c r="G202" s="84">
        <f>F202*105.5%</f>
        <v>0</v>
      </c>
    </row>
    <row r="203" spans="1:9" ht="38.25">
      <c r="A203" s="78" t="s">
        <v>170</v>
      </c>
      <c r="B203" s="43" t="s">
        <v>81</v>
      </c>
      <c r="C203" s="43" t="s">
        <v>19</v>
      </c>
      <c r="D203" s="43" t="s">
        <v>79</v>
      </c>
      <c r="E203" s="43" t="s">
        <v>168</v>
      </c>
      <c r="F203" s="44">
        <f>'Ведомственная 2015-2016'!G182</f>
        <v>741.98149999999987</v>
      </c>
      <c r="G203" s="84">
        <f>F203*105.5%</f>
        <v>782.79048249999983</v>
      </c>
    </row>
    <row r="204" spans="1:9" ht="26.25" customHeight="1">
      <c r="A204" s="78" t="s">
        <v>191</v>
      </c>
      <c r="B204" s="43" t="s">
        <v>81</v>
      </c>
      <c r="C204" s="43" t="s">
        <v>19</v>
      </c>
      <c r="D204" s="43" t="s">
        <v>79</v>
      </c>
      <c r="E204" s="43" t="s">
        <v>192</v>
      </c>
      <c r="F204" s="44" t="e">
        <f>#REF!*105.5%</f>
        <v>#REF!</v>
      </c>
      <c r="G204" s="84" t="e">
        <f>F204*105.5%</f>
        <v>#REF!</v>
      </c>
    </row>
    <row r="205" spans="1:9" ht="21" customHeight="1">
      <c r="A205" s="76" t="s">
        <v>97</v>
      </c>
      <c r="B205" s="77">
        <v>10</v>
      </c>
      <c r="C205" s="77"/>
      <c r="D205" s="77"/>
      <c r="E205" s="77"/>
      <c r="F205" s="74" t="e">
        <f>F206+F210+F216+F229+500</f>
        <v>#REF!</v>
      </c>
      <c r="G205" s="85" t="e">
        <f>G206+G210+G216+G229</f>
        <v>#REF!</v>
      </c>
      <c r="H205" s="26"/>
      <c r="I205" s="26"/>
    </row>
    <row r="206" spans="1:9" ht="21.75" customHeight="1">
      <c r="A206" s="76" t="s">
        <v>98</v>
      </c>
      <c r="B206" s="77">
        <v>10</v>
      </c>
      <c r="C206" s="77" t="s">
        <v>10</v>
      </c>
      <c r="D206" s="77"/>
      <c r="E206" s="77"/>
      <c r="F206" s="74">
        <f>F207</f>
        <v>9281.3624999999993</v>
      </c>
      <c r="G206" s="85">
        <f>F206*105%</f>
        <v>9745.4306249999991</v>
      </c>
    </row>
    <row r="207" spans="1:9" ht="25.5">
      <c r="A207" s="78" t="s">
        <v>99</v>
      </c>
      <c r="B207" s="43">
        <v>10</v>
      </c>
      <c r="C207" s="43" t="s">
        <v>10</v>
      </c>
      <c r="D207" s="43" t="s">
        <v>100</v>
      </c>
      <c r="E207" s="43"/>
      <c r="F207" s="44">
        <f>F208</f>
        <v>9281.3624999999993</v>
      </c>
      <c r="G207" s="84">
        <f>F207*105%</f>
        <v>9745.4306249999991</v>
      </c>
    </row>
    <row r="208" spans="1:9" ht="30" customHeight="1">
      <c r="A208" s="48" t="s">
        <v>101</v>
      </c>
      <c r="B208" s="43">
        <v>10</v>
      </c>
      <c r="C208" s="43" t="s">
        <v>10</v>
      </c>
      <c r="D208" s="43" t="s">
        <v>102</v>
      </c>
      <c r="E208" s="43"/>
      <c r="F208" s="44">
        <f>F209</f>
        <v>9281.3624999999993</v>
      </c>
      <c r="G208" s="84">
        <f>F208*105%</f>
        <v>9745.4306249999991</v>
      </c>
    </row>
    <row r="209" spans="1:9" ht="31.5" customHeight="1">
      <c r="A209" s="78" t="s">
        <v>177</v>
      </c>
      <c r="B209" s="43">
        <v>10</v>
      </c>
      <c r="C209" s="43" t="s">
        <v>10</v>
      </c>
      <c r="D209" s="43" t="s">
        <v>102</v>
      </c>
      <c r="E209" s="43" t="s">
        <v>208</v>
      </c>
      <c r="F209" s="44">
        <f>8797.5*105.5%</f>
        <v>9281.3624999999993</v>
      </c>
      <c r="G209" s="84">
        <f>F209*105.5%</f>
        <v>9791.8374374999985</v>
      </c>
    </row>
    <row r="210" spans="1:9" ht="21" customHeight="1">
      <c r="A210" s="76" t="s">
        <v>103</v>
      </c>
      <c r="B210" s="77" t="s">
        <v>94</v>
      </c>
      <c r="C210" s="77" t="s">
        <v>12</v>
      </c>
      <c r="D210" s="77"/>
      <c r="E210" s="77"/>
      <c r="F210" s="74">
        <f>F211+F213</f>
        <v>17038.3</v>
      </c>
      <c r="G210" s="74">
        <f>G211+G213</f>
        <v>0</v>
      </c>
    </row>
    <row r="211" spans="1:9" ht="39.75" customHeight="1">
      <c r="A211" s="78" t="s">
        <v>444</v>
      </c>
      <c r="B211" s="43" t="s">
        <v>94</v>
      </c>
      <c r="C211" s="43" t="s">
        <v>12</v>
      </c>
      <c r="D211" s="43" t="s">
        <v>275</v>
      </c>
      <c r="E211" s="43"/>
      <c r="F211" s="44">
        <f>F212</f>
        <v>1638.3</v>
      </c>
      <c r="G211" s="84">
        <f>G212</f>
        <v>0</v>
      </c>
    </row>
    <row r="212" spans="1:9" ht="32.25" customHeight="1">
      <c r="A212" s="78" t="s">
        <v>207</v>
      </c>
      <c r="B212" s="43" t="s">
        <v>94</v>
      </c>
      <c r="C212" s="43" t="s">
        <v>12</v>
      </c>
      <c r="D212" s="43" t="s">
        <v>275</v>
      </c>
      <c r="E212" s="43" t="s">
        <v>168</v>
      </c>
      <c r="F212" s="44">
        <v>1638.3</v>
      </c>
      <c r="G212" s="84">
        <v>0</v>
      </c>
    </row>
    <row r="213" spans="1:9" ht="30.75" customHeight="1">
      <c r="A213" s="48" t="s">
        <v>415</v>
      </c>
      <c r="B213" s="43" t="s">
        <v>94</v>
      </c>
      <c r="C213" s="43" t="s">
        <v>12</v>
      </c>
      <c r="D213" s="43" t="s">
        <v>151</v>
      </c>
      <c r="E213" s="43"/>
      <c r="F213" s="44">
        <f>F214</f>
        <v>15400</v>
      </c>
      <c r="G213" s="84">
        <f>G214</f>
        <v>0</v>
      </c>
    </row>
    <row r="214" spans="1:9" ht="29.25" customHeight="1">
      <c r="A214" s="78" t="s">
        <v>177</v>
      </c>
      <c r="B214" s="43" t="s">
        <v>94</v>
      </c>
      <c r="C214" s="43" t="s">
        <v>12</v>
      </c>
      <c r="D214" s="43" t="s">
        <v>151</v>
      </c>
      <c r="E214" s="43" t="s">
        <v>298</v>
      </c>
      <c r="F214" s="44">
        <v>15400</v>
      </c>
      <c r="G214" s="84">
        <v>0</v>
      </c>
    </row>
    <row r="215" spans="1:9" ht="29.25" hidden="1" customHeight="1">
      <c r="A215" s="78" t="e">
        <f>'Ведомственная 2015-2016'!#REF!</f>
        <v>#REF!</v>
      </c>
      <c r="B215" s="43" t="s">
        <v>94</v>
      </c>
      <c r="C215" s="43" t="s">
        <v>12</v>
      </c>
      <c r="D215" s="43" t="s">
        <v>27</v>
      </c>
      <c r="E215" s="154">
        <v>313</v>
      </c>
      <c r="F215" s="44" t="e">
        <f>'Ведомственная 2015-2016'!#REF!</f>
        <v>#REF!</v>
      </c>
      <c r="G215" s="84" t="e">
        <f>'Ведомственная 2015-2016'!#REF!</f>
        <v>#REF!</v>
      </c>
    </row>
    <row r="216" spans="1:9" ht="20.25" customHeight="1">
      <c r="A216" s="78" t="s">
        <v>233</v>
      </c>
      <c r="B216" s="77" t="s">
        <v>94</v>
      </c>
      <c r="C216" s="77" t="s">
        <v>19</v>
      </c>
      <c r="D216" s="77"/>
      <c r="E216" s="77"/>
      <c r="F216" s="85" t="e">
        <f>F217+F220+F223+F225+F227</f>
        <v>#REF!</v>
      </c>
      <c r="G216" s="85" t="e">
        <f>G217+G220+G223+G225+G227</f>
        <v>#REF!</v>
      </c>
      <c r="H216" s="26"/>
      <c r="I216" s="26"/>
    </row>
    <row r="217" spans="1:9" ht="29.25" customHeight="1">
      <c r="A217" s="78" t="s">
        <v>234</v>
      </c>
      <c r="B217" s="43" t="s">
        <v>94</v>
      </c>
      <c r="C217" s="43" t="s">
        <v>19</v>
      </c>
      <c r="D217" s="43" t="s">
        <v>235</v>
      </c>
      <c r="E217" s="43"/>
      <c r="F217" s="84">
        <f>F218</f>
        <v>50</v>
      </c>
      <c r="G217" s="84">
        <f>G218</f>
        <v>50</v>
      </c>
    </row>
    <row r="218" spans="1:9" ht="29.25" customHeight="1">
      <c r="A218" s="125" t="s">
        <v>256</v>
      </c>
      <c r="B218" s="43" t="s">
        <v>94</v>
      </c>
      <c r="C218" s="43" t="s">
        <v>19</v>
      </c>
      <c r="D218" s="43" t="s">
        <v>236</v>
      </c>
      <c r="E218" s="43"/>
      <c r="F218" s="84">
        <f>F219</f>
        <v>50</v>
      </c>
      <c r="G218" s="84">
        <f>G219</f>
        <v>50</v>
      </c>
    </row>
    <row r="219" spans="1:9" ht="29.25" customHeight="1">
      <c r="A219" s="78" t="s">
        <v>292</v>
      </c>
      <c r="B219" s="43" t="s">
        <v>94</v>
      </c>
      <c r="C219" s="43" t="s">
        <v>19</v>
      </c>
      <c r="D219" s="43" t="s">
        <v>236</v>
      </c>
      <c r="E219" s="43" t="s">
        <v>291</v>
      </c>
      <c r="F219" s="84">
        <f>'Ведомственная 2015-2016'!G259</f>
        <v>50</v>
      </c>
      <c r="G219" s="84">
        <f>'Ведомственная 2015-2016'!H259</f>
        <v>50</v>
      </c>
    </row>
    <row r="220" spans="1:9" ht="29.25" customHeight="1">
      <c r="A220" s="125" t="s">
        <v>255</v>
      </c>
      <c r="B220" s="43" t="s">
        <v>94</v>
      </c>
      <c r="C220" s="43" t="s">
        <v>19</v>
      </c>
      <c r="D220" s="43" t="s">
        <v>253</v>
      </c>
      <c r="E220" s="43"/>
      <c r="F220" s="84">
        <f>F221</f>
        <v>27398.2</v>
      </c>
      <c r="G220" s="84">
        <f>G221</f>
        <v>27398.2</v>
      </c>
    </row>
    <row r="221" spans="1:9" ht="71.25" customHeight="1">
      <c r="A221" s="125" t="s">
        <v>257</v>
      </c>
      <c r="B221" s="43" t="s">
        <v>94</v>
      </c>
      <c r="C221" s="43" t="s">
        <v>19</v>
      </c>
      <c r="D221" s="43" t="s">
        <v>254</v>
      </c>
      <c r="E221" s="43"/>
      <c r="F221" s="84">
        <f>F222</f>
        <v>27398.2</v>
      </c>
      <c r="G221" s="84">
        <f>G222</f>
        <v>27398.2</v>
      </c>
    </row>
    <row r="222" spans="1:9" ht="31.5" customHeight="1">
      <c r="A222" s="78" t="s">
        <v>292</v>
      </c>
      <c r="B222" s="43" t="s">
        <v>94</v>
      </c>
      <c r="C222" s="43" t="s">
        <v>19</v>
      </c>
      <c r="D222" s="43" t="s">
        <v>254</v>
      </c>
      <c r="E222" s="43" t="s">
        <v>291</v>
      </c>
      <c r="F222" s="84">
        <f>'Ведомственная 2015-2016'!G262</f>
        <v>27398.2</v>
      </c>
      <c r="G222" s="84">
        <f>'Ведомственная 2015-2016'!H262</f>
        <v>27398.2</v>
      </c>
    </row>
    <row r="223" spans="1:9" ht="29.25" customHeight="1">
      <c r="A223" s="78" t="s">
        <v>390</v>
      </c>
      <c r="B223" s="43" t="s">
        <v>94</v>
      </c>
      <c r="C223" s="43" t="s">
        <v>19</v>
      </c>
      <c r="D223" s="43" t="s">
        <v>241</v>
      </c>
      <c r="E223" s="43"/>
      <c r="F223" s="84">
        <f>F224</f>
        <v>1455.9</v>
      </c>
      <c r="G223" s="84">
        <v>0</v>
      </c>
    </row>
    <row r="224" spans="1:9" ht="29.25" customHeight="1">
      <c r="A224" s="78" t="s">
        <v>292</v>
      </c>
      <c r="B224" s="43" t="s">
        <v>94</v>
      </c>
      <c r="C224" s="43" t="s">
        <v>19</v>
      </c>
      <c r="D224" s="43" t="s">
        <v>241</v>
      </c>
      <c r="E224" s="43" t="s">
        <v>291</v>
      </c>
      <c r="F224" s="84">
        <v>1455.9</v>
      </c>
      <c r="G224" s="84">
        <v>1455.9</v>
      </c>
    </row>
    <row r="225" spans="1:8" ht="29.25" customHeight="1">
      <c r="A225" s="78" t="s">
        <v>238</v>
      </c>
      <c r="B225" s="43" t="s">
        <v>94</v>
      </c>
      <c r="C225" s="43" t="s">
        <v>19</v>
      </c>
      <c r="D225" s="43" t="s">
        <v>242</v>
      </c>
      <c r="E225" s="43"/>
      <c r="F225" s="84">
        <f>F226</f>
        <v>1872.2</v>
      </c>
      <c r="G225" s="84">
        <f>G226</f>
        <v>1872.2</v>
      </c>
    </row>
    <row r="226" spans="1:8" ht="29.25" customHeight="1">
      <c r="A226" s="78" t="s">
        <v>292</v>
      </c>
      <c r="B226" s="43" t="s">
        <v>94</v>
      </c>
      <c r="C226" s="43" t="s">
        <v>19</v>
      </c>
      <c r="D226" s="43" t="s">
        <v>242</v>
      </c>
      <c r="E226" s="43" t="s">
        <v>291</v>
      </c>
      <c r="F226" s="84">
        <v>1872.2</v>
      </c>
      <c r="G226" s="84">
        <v>1872.2</v>
      </c>
    </row>
    <row r="227" spans="1:8" ht="29.25" customHeight="1">
      <c r="A227" s="78" t="s">
        <v>239</v>
      </c>
      <c r="B227" s="43" t="s">
        <v>94</v>
      </c>
      <c r="C227" s="43" t="s">
        <v>19</v>
      </c>
      <c r="D227" s="43" t="s">
        <v>243</v>
      </c>
      <c r="E227" s="43"/>
      <c r="F227" s="84" t="e">
        <f>F228</f>
        <v>#REF!</v>
      </c>
      <c r="G227" s="84" t="e">
        <f>G228</f>
        <v>#REF!</v>
      </c>
    </row>
    <row r="228" spans="1:8" ht="29.25" customHeight="1">
      <c r="A228" s="78" t="s">
        <v>292</v>
      </c>
      <c r="B228" s="43" t="s">
        <v>94</v>
      </c>
      <c r="C228" s="43" t="s">
        <v>19</v>
      </c>
      <c r="D228" s="43" t="s">
        <v>243</v>
      </c>
      <c r="E228" s="43" t="s">
        <v>291</v>
      </c>
      <c r="F228" s="84" t="e">
        <f>'Ведомственная 2015-2016'!G268</f>
        <v>#REF!</v>
      </c>
      <c r="G228" s="84" t="e">
        <f>'Ведомственная 2015-2016'!H268</f>
        <v>#REF!</v>
      </c>
    </row>
    <row r="229" spans="1:8" ht="22.5" customHeight="1">
      <c r="A229" s="78" t="s">
        <v>244</v>
      </c>
      <c r="B229" s="77" t="s">
        <v>94</v>
      </c>
      <c r="C229" s="77" t="s">
        <v>89</v>
      </c>
      <c r="D229" s="77"/>
      <c r="E229" s="87"/>
      <c r="F229" s="85">
        <f>F230+F232</f>
        <v>6725.2</v>
      </c>
      <c r="G229" s="85">
        <f>G230+G232</f>
        <v>6828.7350000000006</v>
      </c>
      <c r="H229" s="26"/>
    </row>
    <row r="230" spans="1:8" ht="29.25" customHeight="1">
      <c r="A230" s="78" t="s">
        <v>386</v>
      </c>
      <c r="B230" s="43" t="s">
        <v>94</v>
      </c>
      <c r="C230" s="43" t="s">
        <v>89</v>
      </c>
      <c r="D230" s="43" t="s">
        <v>245</v>
      </c>
      <c r="E230" s="154"/>
      <c r="F230" s="84">
        <f>F231</f>
        <v>4654.5</v>
      </c>
      <c r="G230" s="84">
        <f>G231</f>
        <v>4654.5</v>
      </c>
    </row>
    <row r="231" spans="1:8" ht="29.25" customHeight="1">
      <c r="A231" s="78" t="s">
        <v>209</v>
      </c>
      <c r="B231" s="43" t="s">
        <v>94</v>
      </c>
      <c r="C231" s="43" t="s">
        <v>89</v>
      </c>
      <c r="D231" s="43" t="s">
        <v>245</v>
      </c>
      <c r="E231" s="43" t="s">
        <v>171</v>
      </c>
      <c r="F231" s="84">
        <f>'Ведомственная 2015-2016'!G271</f>
        <v>4654.5</v>
      </c>
      <c r="G231" s="84">
        <f>'Ведомственная 2015-2016'!H271</f>
        <v>4654.5</v>
      </c>
    </row>
    <row r="232" spans="1:8" ht="29.25" customHeight="1">
      <c r="A232" s="48" t="s">
        <v>377</v>
      </c>
      <c r="B232" s="43" t="s">
        <v>94</v>
      </c>
      <c r="C232" s="43" t="s">
        <v>89</v>
      </c>
      <c r="D232" s="43" t="s">
        <v>246</v>
      </c>
      <c r="E232" s="43"/>
      <c r="F232" s="44">
        <f>F233+F234</f>
        <v>2070.6999999999998</v>
      </c>
      <c r="G232" s="84">
        <f>F232*105%</f>
        <v>2174.2350000000001</v>
      </c>
    </row>
    <row r="233" spans="1:8" ht="29.25" customHeight="1">
      <c r="A233" s="78" t="s">
        <v>169</v>
      </c>
      <c r="B233" s="43" t="s">
        <v>94</v>
      </c>
      <c r="C233" s="43" t="s">
        <v>89</v>
      </c>
      <c r="D233" s="43" t="s">
        <v>246</v>
      </c>
      <c r="E233" s="43" t="s">
        <v>171</v>
      </c>
      <c r="F233" s="44">
        <f>'Ведомственная 2015-2016'!G105</f>
        <v>2070.6999999999998</v>
      </c>
      <c r="G233" s="84">
        <f>'Ведомственная 2015-2016'!H105</f>
        <v>2070.6999999999998</v>
      </c>
    </row>
    <row r="234" spans="1:8" ht="29.25" hidden="1" customHeight="1">
      <c r="A234" s="78" t="s">
        <v>207</v>
      </c>
      <c r="B234" s="43" t="s">
        <v>94</v>
      </c>
      <c r="C234" s="43" t="s">
        <v>89</v>
      </c>
      <c r="D234" s="43" t="s">
        <v>246</v>
      </c>
      <c r="E234" s="43" t="s">
        <v>168</v>
      </c>
      <c r="F234" s="44">
        <v>0</v>
      </c>
      <c r="G234" s="84">
        <v>0</v>
      </c>
    </row>
    <row r="235" spans="1:8" s="23" customFormat="1" ht="21" customHeight="1">
      <c r="A235" s="76" t="str">
        <f>прил.4!A357</f>
        <v>ФИЗИЧЕСКАЯ КУЛЬТУРА И СПОРТ</v>
      </c>
      <c r="B235" s="77" t="s">
        <v>22</v>
      </c>
      <c r="C235" s="77"/>
      <c r="D235" s="77"/>
      <c r="E235" s="77"/>
      <c r="F235" s="85" t="e">
        <f>F236+F243</f>
        <v>#REF!</v>
      </c>
      <c r="G235" s="85" t="e">
        <f>G236+G243</f>
        <v>#REF!</v>
      </c>
    </row>
    <row r="236" spans="1:8" s="23" customFormat="1" ht="17.25" customHeight="1">
      <c r="A236" s="48" t="s">
        <v>416</v>
      </c>
      <c r="B236" s="77" t="s">
        <v>22</v>
      </c>
      <c r="C236" s="77" t="s">
        <v>10</v>
      </c>
      <c r="D236" s="77"/>
      <c r="E236" s="77"/>
      <c r="F236" s="85">
        <f>F237</f>
        <v>4000</v>
      </c>
      <c r="G236" s="85">
        <f>G237</f>
        <v>0</v>
      </c>
    </row>
    <row r="237" spans="1:8" ht="30" customHeight="1">
      <c r="A237" s="78" t="s">
        <v>385</v>
      </c>
      <c r="B237" s="43" t="s">
        <v>22</v>
      </c>
      <c r="C237" s="43" t="s">
        <v>10</v>
      </c>
      <c r="D237" s="43" t="s">
        <v>330</v>
      </c>
      <c r="E237" s="43"/>
      <c r="F237" s="84">
        <f>'Ведомственная 2015-2016'!G282</f>
        <v>4000</v>
      </c>
      <c r="G237" s="84">
        <f>'Ведомственная 2015-2016'!H282</f>
        <v>0</v>
      </c>
    </row>
    <row r="238" spans="1:8" ht="29.25" customHeight="1">
      <c r="A238" s="78" t="s">
        <v>176</v>
      </c>
      <c r="B238" s="43" t="s">
        <v>22</v>
      </c>
      <c r="C238" s="43" t="s">
        <v>10</v>
      </c>
      <c r="D238" s="43" t="s">
        <v>330</v>
      </c>
      <c r="E238" s="43" t="s">
        <v>175</v>
      </c>
      <c r="F238" s="84">
        <f>'Ведомственная 2015-2016'!G282</f>
        <v>4000</v>
      </c>
      <c r="G238" s="84">
        <f>'Ведомственная 2015-2016'!H282</f>
        <v>0</v>
      </c>
    </row>
    <row r="239" spans="1:8" ht="51" hidden="1" customHeight="1">
      <c r="A239" s="78" t="s">
        <v>181</v>
      </c>
      <c r="B239" s="43" t="s">
        <v>22</v>
      </c>
      <c r="C239" s="43" t="s">
        <v>10</v>
      </c>
      <c r="D239" s="43" t="s">
        <v>76</v>
      </c>
      <c r="E239" s="43" t="s">
        <v>180</v>
      </c>
      <c r="F239" s="84">
        <v>0</v>
      </c>
      <c r="G239" s="84">
        <f t="shared" ref="G239:G244" si="9">F239*105%</f>
        <v>0</v>
      </c>
    </row>
    <row r="240" spans="1:8" ht="13.5" hidden="1" customHeight="1">
      <c r="A240" s="78" t="s">
        <v>91</v>
      </c>
      <c r="B240" s="43" t="s">
        <v>22</v>
      </c>
      <c r="C240" s="43" t="s">
        <v>10</v>
      </c>
      <c r="D240" s="43" t="s">
        <v>92</v>
      </c>
      <c r="E240" s="43"/>
      <c r="F240" s="84">
        <f>F241</f>
        <v>0</v>
      </c>
      <c r="G240" s="84">
        <f t="shared" si="9"/>
        <v>0</v>
      </c>
    </row>
    <row r="241" spans="1:7" ht="25.5" hidden="1" customHeight="1">
      <c r="A241" s="78" t="s">
        <v>36</v>
      </c>
      <c r="B241" s="43" t="s">
        <v>22</v>
      </c>
      <c r="C241" s="43" t="s">
        <v>10</v>
      </c>
      <c r="D241" s="43" t="s">
        <v>93</v>
      </c>
      <c r="E241" s="43"/>
      <c r="F241" s="84">
        <f>F242</f>
        <v>0</v>
      </c>
      <c r="G241" s="84">
        <f t="shared" si="9"/>
        <v>0</v>
      </c>
    </row>
    <row r="242" spans="1:7" ht="51" hidden="1" customHeight="1">
      <c r="A242" s="78" t="s">
        <v>181</v>
      </c>
      <c r="B242" s="43" t="s">
        <v>22</v>
      </c>
      <c r="C242" s="43" t="s">
        <v>10</v>
      </c>
      <c r="D242" s="43" t="s">
        <v>93</v>
      </c>
      <c r="E242" s="43" t="s">
        <v>180</v>
      </c>
      <c r="F242" s="84">
        <v>0</v>
      </c>
      <c r="G242" s="84">
        <f t="shared" si="9"/>
        <v>0</v>
      </c>
    </row>
    <row r="243" spans="1:7" s="23" customFormat="1" ht="30.75" customHeight="1">
      <c r="A243" s="48" t="s">
        <v>139</v>
      </c>
      <c r="B243" s="77" t="s">
        <v>22</v>
      </c>
      <c r="C243" s="77" t="s">
        <v>44</v>
      </c>
      <c r="D243" s="77"/>
      <c r="E243" s="77"/>
      <c r="F243" s="85" t="e">
        <f>F247</f>
        <v>#REF!</v>
      </c>
      <c r="G243" s="85" t="e">
        <f t="shared" si="9"/>
        <v>#REF!</v>
      </c>
    </row>
    <row r="244" spans="1:7" ht="12.75" hidden="1" customHeight="1">
      <c r="A244" s="48" t="e">
        <f>прил.4!#REF!</f>
        <v>#REF!</v>
      </c>
      <c r="B244" s="43" t="s">
        <v>22</v>
      </c>
      <c r="C244" s="43" t="s">
        <v>44</v>
      </c>
      <c r="D244" s="43" t="s">
        <v>152</v>
      </c>
      <c r="E244" s="43"/>
      <c r="F244" s="84">
        <f>F245+F246</f>
        <v>0</v>
      </c>
      <c r="G244" s="84">
        <f t="shared" si="9"/>
        <v>0</v>
      </c>
    </row>
    <row r="245" spans="1:7" ht="51" hidden="1" customHeight="1">
      <c r="A245" s="78" t="s">
        <v>176</v>
      </c>
      <c r="B245" s="43" t="s">
        <v>22</v>
      </c>
      <c r="C245" s="43" t="s">
        <v>44</v>
      </c>
      <c r="D245" s="43" t="s">
        <v>152</v>
      </c>
      <c r="E245" s="43" t="s">
        <v>175</v>
      </c>
      <c r="F245" s="84">
        <v>0</v>
      </c>
      <c r="G245" s="84">
        <v>0</v>
      </c>
    </row>
    <row r="246" spans="1:7" s="23" customFormat="1" ht="38.25" hidden="1" customHeight="1">
      <c r="A246" s="78" t="s">
        <v>170</v>
      </c>
      <c r="B246" s="43" t="s">
        <v>22</v>
      </c>
      <c r="C246" s="43" t="s">
        <v>44</v>
      </c>
      <c r="D246" s="43" t="s">
        <v>152</v>
      </c>
      <c r="E246" s="43" t="s">
        <v>168</v>
      </c>
      <c r="F246" s="84">
        <v>0</v>
      </c>
      <c r="G246" s="84">
        <v>0</v>
      </c>
    </row>
    <row r="247" spans="1:7" ht="60" customHeight="1">
      <c r="A247" s="48" t="str">
        <f>прил.4!A372</f>
        <v>Другие вопросы в области физической культуры и спорта</v>
      </c>
      <c r="B247" s="43" t="s">
        <v>22</v>
      </c>
      <c r="C247" s="43" t="s">
        <v>44</v>
      </c>
      <c r="D247" s="43" t="s">
        <v>78</v>
      </c>
      <c r="E247" s="43"/>
      <c r="F247" s="84" t="e">
        <f>F249+F250+F251+F252</f>
        <v>#REF!</v>
      </c>
      <c r="G247" s="84" t="e">
        <f t="shared" ref="G247:G256" si="10">F247*105%</f>
        <v>#REF!</v>
      </c>
    </row>
    <row r="248" spans="1:7" ht="31.5" customHeight="1">
      <c r="A248" s="48" t="str">
        <f>'Ведомственная 2015-2016'!A284</f>
        <v>Обеспечение деятельности подведомственных учреждений</v>
      </c>
      <c r="B248" s="43" t="s">
        <v>22</v>
      </c>
      <c r="C248" s="43" t="s">
        <v>44</v>
      </c>
      <c r="D248" s="43" t="s">
        <v>96</v>
      </c>
      <c r="E248" s="43"/>
      <c r="F248" s="84" t="e">
        <f>F249+F251</f>
        <v>#REF!</v>
      </c>
      <c r="G248" s="84" t="e">
        <f t="shared" si="10"/>
        <v>#REF!</v>
      </c>
    </row>
    <row r="249" spans="1:7" ht="18" customHeight="1">
      <c r="A249" s="78" t="s">
        <v>169</v>
      </c>
      <c r="B249" s="43" t="s">
        <v>22</v>
      </c>
      <c r="C249" s="43" t="s">
        <v>44</v>
      </c>
      <c r="D249" s="43" t="s">
        <v>80</v>
      </c>
      <c r="E249" s="43" t="s">
        <v>171</v>
      </c>
      <c r="F249" s="84" t="e">
        <f>#REF!*105.5%</f>
        <v>#REF!</v>
      </c>
      <c r="G249" s="84" t="e">
        <f t="shared" si="10"/>
        <v>#REF!</v>
      </c>
    </row>
    <row r="250" spans="1:7" ht="33" hidden="1" customHeight="1">
      <c r="A250" s="78" t="s">
        <v>205</v>
      </c>
      <c r="B250" s="43" t="s">
        <v>22</v>
      </c>
      <c r="C250" s="43" t="s">
        <v>44</v>
      </c>
      <c r="D250" s="43" t="s">
        <v>80</v>
      </c>
      <c r="E250" s="43" t="s">
        <v>204</v>
      </c>
      <c r="F250" s="84"/>
      <c r="G250" s="84">
        <f t="shared" si="10"/>
        <v>0</v>
      </c>
    </row>
    <row r="251" spans="1:7" ht="32.25" customHeight="1">
      <c r="A251" s="78" t="s">
        <v>170</v>
      </c>
      <c r="B251" s="43" t="s">
        <v>22</v>
      </c>
      <c r="C251" s="43" t="s">
        <v>44</v>
      </c>
      <c r="D251" s="43" t="s">
        <v>80</v>
      </c>
      <c r="E251" s="43" t="s">
        <v>168</v>
      </c>
      <c r="F251" s="84" t="e">
        <f>#REF!*105.5%</f>
        <v>#REF!</v>
      </c>
      <c r="G251" s="84" t="e">
        <f t="shared" si="10"/>
        <v>#REF!</v>
      </c>
    </row>
    <row r="252" spans="1:7" ht="29.25" customHeight="1">
      <c r="A252" s="78" t="s">
        <v>190</v>
      </c>
      <c r="B252" s="43" t="s">
        <v>22</v>
      </c>
      <c r="C252" s="43" t="s">
        <v>44</v>
      </c>
      <c r="D252" s="43" t="s">
        <v>80</v>
      </c>
      <c r="E252" s="43" t="s">
        <v>189</v>
      </c>
      <c r="F252" s="84" t="e">
        <f>#REF!*105.5%</f>
        <v>#REF!</v>
      </c>
      <c r="G252" s="84" t="e">
        <f t="shared" si="10"/>
        <v>#REF!</v>
      </c>
    </row>
    <row r="253" spans="1:7" s="23" customFormat="1" ht="21.75" customHeight="1">
      <c r="A253" s="76" t="e">
        <f>прил.4!#REF!</f>
        <v>#REF!</v>
      </c>
      <c r="B253" s="77" t="s">
        <v>24</v>
      </c>
      <c r="C253" s="77"/>
      <c r="D253" s="77"/>
      <c r="E253" s="77"/>
      <c r="F253" s="85" t="e">
        <f>F254</f>
        <v>#REF!</v>
      </c>
      <c r="G253" s="85" t="e">
        <f t="shared" si="10"/>
        <v>#REF!</v>
      </c>
    </row>
    <row r="254" spans="1:7" s="23" customFormat="1" ht="15.75" customHeight="1">
      <c r="A254" s="76" t="e">
        <f>прил.4!#REF!</f>
        <v>#REF!</v>
      </c>
      <c r="B254" s="77" t="s">
        <v>24</v>
      </c>
      <c r="C254" s="77" t="s">
        <v>50</v>
      </c>
      <c r="D254" s="77"/>
      <c r="E254" s="77"/>
      <c r="F254" s="85" t="e">
        <f>F255</f>
        <v>#REF!</v>
      </c>
      <c r="G254" s="85" t="e">
        <f t="shared" si="10"/>
        <v>#REF!</v>
      </c>
    </row>
    <row r="255" spans="1:7" ht="30" customHeight="1">
      <c r="A255" s="48" t="e">
        <f>прил.4!#REF!</f>
        <v>#REF!</v>
      </c>
      <c r="B255" s="43" t="s">
        <v>24</v>
      </c>
      <c r="C255" s="43" t="s">
        <v>50</v>
      </c>
      <c r="D255" s="43" t="s">
        <v>88</v>
      </c>
      <c r="E255" s="43"/>
      <c r="F255" s="84" t="e">
        <f>F257+F258+F259+F260</f>
        <v>#REF!</v>
      </c>
      <c r="G255" s="84" t="e">
        <f t="shared" si="10"/>
        <v>#REF!</v>
      </c>
    </row>
    <row r="256" spans="1:7" ht="30.75" customHeight="1">
      <c r="A256" s="78" t="s">
        <v>36</v>
      </c>
      <c r="B256" s="43" t="s">
        <v>24</v>
      </c>
      <c r="C256" s="43" t="s">
        <v>50</v>
      </c>
      <c r="D256" s="43" t="s">
        <v>299</v>
      </c>
      <c r="E256" s="43"/>
      <c r="F256" s="84" t="e">
        <f>F257+F259</f>
        <v>#REF!</v>
      </c>
      <c r="G256" s="84" t="e">
        <f t="shared" si="10"/>
        <v>#REF!</v>
      </c>
    </row>
    <row r="257" spans="1:9" ht="18" customHeight="1">
      <c r="A257" s="78" t="s">
        <v>169</v>
      </c>
      <c r="B257" s="43" t="s">
        <v>24</v>
      </c>
      <c r="C257" s="43" t="s">
        <v>50</v>
      </c>
      <c r="D257" s="43" t="s">
        <v>299</v>
      </c>
      <c r="E257" s="43" t="s">
        <v>171</v>
      </c>
      <c r="F257" s="84" t="e">
        <f>#REF!*105.5%</f>
        <v>#REF!</v>
      </c>
      <c r="G257" s="84" t="e">
        <f>F257*105.5%</f>
        <v>#REF!</v>
      </c>
    </row>
    <row r="258" spans="1:9" ht="27.75" hidden="1" customHeight="1">
      <c r="A258" s="78" t="s">
        <v>205</v>
      </c>
      <c r="B258" s="43" t="s">
        <v>24</v>
      </c>
      <c r="C258" s="43" t="s">
        <v>50</v>
      </c>
      <c r="D258" s="43" t="s">
        <v>299</v>
      </c>
      <c r="E258" s="43" t="s">
        <v>204</v>
      </c>
      <c r="F258" s="84"/>
      <c r="G258" s="84">
        <f>F258*105.5%</f>
        <v>0</v>
      </c>
    </row>
    <row r="259" spans="1:9" ht="38.25">
      <c r="A259" s="78" t="s">
        <v>170</v>
      </c>
      <c r="B259" s="43" t="s">
        <v>24</v>
      </c>
      <c r="C259" s="43" t="s">
        <v>50</v>
      </c>
      <c r="D259" s="43" t="s">
        <v>299</v>
      </c>
      <c r="E259" s="43" t="s">
        <v>168</v>
      </c>
      <c r="F259" s="84" t="e">
        <f>#REF!*105.5%</f>
        <v>#REF!</v>
      </c>
      <c r="G259" s="84" t="e">
        <f>F259*105.5%</f>
        <v>#REF!</v>
      </c>
    </row>
    <row r="260" spans="1:9" ht="18.75" customHeight="1">
      <c r="A260" s="78" t="s">
        <v>190</v>
      </c>
      <c r="B260" s="43" t="s">
        <v>24</v>
      </c>
      <c r="C260" s="43" t="s">
        <v>50</v>
      </c>
      <c r="D260" s="43" t="s">
        <v>299</v>
      </c>
      <c r="E260" s="43" t="s">
        <v>189</v>
      </c>
      <c r="F260" s="84" t="e">
        <f>#REF!*105.5%</f>
        <v>#REF!</v>
      </c>
      <c r="G260" s="84" t="e">
        <f>F260*105.5%</f>
        <v>#REF!</v>
      </c>
    </row>
    <row r="261" spans="1:9" ht="30.75" customHeight="1">
      <c r="A261" s="102" t="s">
        <v>162</v>
      </c>
      <c r="B261" s="77" t="s">
        <v>154</v>
      </c>
      <c r="C261" s="77"/>
      <c r="D261" s="77"/>
      <c r="E261" s="77"/>
      <c r="F261" s="85">
        <f t="shared" ref="F261:G264" si="11">F262</f>
        <v>62816.1</v>
      </c>
      <c r="G261" s="85">
        <f t="shared" si="11"/>
        <v>0</v>
      </c>
    </row>
    <row r="262" spans="1:9" ht="26.25" customHeight="1">
      <c r="A262" s="102" t="s">
        <v>166</v>
      </c>
      <c r="B262" s="77" t="s">
        <v>154</v>
      </c>
      <c r="C262" s="77" t="s">
        <v>10</v>
      </c>
      <c r="D262" s="77"/>
      <c r="E262" s="77"/>
      <c r="F262" s="85">
        <f t="shared" si="11"/>
        <v>62816.1</v>
      </c>
      <c r="G262" s="85">
        <f t="shared" si="11"/>
        <v>0</v>
      </c>
    </row>
    <row r="263" spans="1:9" ht="17.25" customHeight="1">
      <c r="A263" s="78" t="s">
        <v>161</v>
      </c>
      <c r="B263" s="43" t="s">
        <v>154</v>
      </c>
      <c r="C263" s="43" t="s">
        <v>10</v>
      </c>
      <c r="D263" s="43" t="s">
        <v>158</v>
      </c>
      <c r="E263" s="43"/>
      <c r="F263" s="84">
        <f t="shared" si="11"/>
        <v>62816.1</v>
      </c>
      <c r="G263" s="84">
        <f t="shared" si="11"/>
        <v>0</v>
      </c>
    </row>
    <row r="264" spans="1:9" ht="25.5" customHeight="1">
      <c r="A264" s="78" t="s">
        <v>160</v>
      </c>
      <c r="B264" s="43" t="s">
        <v>154</v>
      </c>
      <c r="C264" s="43" t="s">
        <v>10</v>
      </c>
      <c r="D264" s="43" t="s">
        <v>159</v>
      </c>
      <c r="E264" s="43"/>
      <c r="F264" s="84">
        <f t="shared" si="11"/>
        <v>62816.1</v>
      </c>
      <c r="G264" s="84">
        <f t="shared" si="11"/>
        <v>0</v>
      </c>
    </row>
    <row r="265" spans="1:9" ht="34.5" customHeight="1">
      <c r="A265" s="78" t="s">
        <v>188</v>
      </c>
      <c r="B265" s="43" t="s">
        <v>154</v>
      </c>
      <c r="C265" s="43" t="s">
        <v>10</v>
      </c>
      <c r="D265" s="43" t="s">
        <v>159</v>
      </c>
      <c r="E265" s="43" t="s">
        <v>187</v>
      </c>
      <c r="F265" s="84">
        <v>62816.1</v>
      </c>
      <c r="G265" s="84">
        <v>0</v>
      </c>
    </row>
    <row r="266" spans="1:9" ht="17.25" customHeight="1">
      <c r="A266" s="80" t="s">
        <v>104</v>
      </c>
      <c r="B266" s="154"/>
      <c r="C266" s="154"/>
      <c r="D266" s="154"/>
      <c r="E266" s="154"/>
      <c r="F266" s="85" t="e">
        <f>F261+F253+F235+F205+F178++F124+F97+F81+F70+F15</f>
        <v>#REF!</v>
      </c>
      <c r="G266" s="85" t="e">
        <f>G15+G70+G81+G97+G124+G178+G205+G235+G253+G261</f>
        <v>#REF!</v>
      </c>
    </row>
    <row r="267" spans="1:9" ht="17.25" customHeight="1">
      <c r="A267" s="122"/>
      <c r="B267" s="105"/>
      <c r="C267" s="105"/>
      <c r="D267" s="105"/>
      <c r="E267" s="105"/>
      <c r="F267" s="123"/>
      <c r="G267" s="123"/>
      <c r="I267" s="26"/>
    </row>
    <row r="268" spans="1:9" ht="15.75">
      <c r="A268" s="162" t="s">
        <v>426</v>
      </c>
      <c r="B268" s="161"/>
      <c r="C268" s="160"/>
      <c r="D268" s="159"/>
      <c r="E268" s="343" t="s">
        <v>427</v>
      </c>
      <c r="F268" s="343"/>
      <c r="G268" s="343"/>
      <c r="H268" s="26"/>
      <c r="I268" s="26"/>
    </row>
    <row r="269" spans="1:9" ht="18" customHeight="1">
      <c r="A269" s="341"/>
      <c r="B269" s="341"/>
    </row>
    <row r="270" spans="1:9" ht="15.75">
      <c r="A270" s="112"/>
      <c r="F270" s="346"/>
      <c r="G270" s="347"/>
    </row>
  </sheetData>
  <mergeCells count="20">
    <mergeCell ref="F270:G270"/>
    <mergeCell ref="E10:G10"/>
    <mergeCell ref="D12:D13"/>
    <mergeCell ref="A8:F9"/>
    <mergeCell ref="A7:F7"/>
    <mergeCell ref="E12:E13"/>
    <mergeCell ref="F11:F13"/>
    <mergeCell ref="A11:A13"/>
    <mergeCell ref="B11:E11"/>
    <mergeCell ref="E268:G268"/>
    <mergeCell ref="B12:B13"/>
    <mergeCell ref="C12:C13"/>
    <mergeCell ref="G11:G13"/>
    <mergeCell ref="E1:G1"/>
    <mergeCell ref="A269:B269"/>
    <mergeCell ref="A2:G2"/>
    <mergeCell ref="B3:G3"/>
    <mergeCell ref="B4:G4"/>
    <mergeCell ref="B5:G5"/>
    <mergeCell ref="D6:G6"/>
  </mergeCells>
  <pageMargins left="0.19685039370078741" right="0.19685039370078741" top="0.35433070866141736" bottom="0.31496062992125984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J244"/>
  <sheetViews>
    <sheetView workbookViewId="0">
      <selection activeCell="K64" sqref="K64"/>
    </sheetView>
  </sheetViews>
  <sheetFormatPr defaultRowHeight="12.75"/>
  <cols>
    <col min="1" max="1" width="37.28515625" style="11" customWidth="1"/>
    <col min="2" max="2" width="7.7109375" style="14" customWidth="1"/>
    <col min="3" max="3" width="8.28515625" style="14" customWidth="1"/>
    <col min="4" max="4" width="14.7109375" style="15" customWidth="1"/>
    <col min="5" max="5" width="7.28515625" style="16" customWidth="1"/>
    <col min="6" max="6" width="13.5703125" style="17" hidden="1" customWidth="1"/>
    <col min="7" max="7" width="13.5703125" style="17" customWidth="1"/>
    <col min="8" max="8" width="12.42578125" customWidth="1"/>
  </cols>
  <sheetData>
    <row r="1" spans="1:9" ht="15.75">
      <c r="A1" s="340" t="s">
        <v>409</v>
      </c>
      <c r="B1" s="345"/>
      <c r="C1" s="345"/>
      <c r="D1" s="345"/>
      <c r="E1" s="345"/>
      <c r="F1" s="345"/>
      <c r="G1" s="345"/>
      <c r="H1" s="345"/>
    </row>
    <row r="2" spans="1:9" ht="15.75">
      <c r="A2" s="340" t="s">
        <v>433</v>
      </c>
      <c r="B2" s="342"/>
      <c r="C2" s="342"/>
      <c r="D2" s="342"/>
      <c r="E2" s="342"/>
      <c r="F2" s="342"/>
      <c r="G2" s="342"/>
      <c r="H2" s="342"/>
    </row>
    <row r="3" spans="1:9" ht="15.75">
      <c r="A3" s="340" t="s">
        <v>434</v>
      </c>
      <c r="B3" s="342"/>
      <c r="C3" s="342"/>
      <c r="D3" s="342"/>
      <c r="E3" s="342"/>
      <c r="F3" s="342"/>
      <c r="G3" s="342"/>
      <c r="H3" s="342"/>
    </row>
    <row r="4" spans="1:9" ht="15.75">
      <c r="A4" s="343" t="s">
        <v>435</v>
      </c>
      <c r="B4" s="344"/>
      <c r="C4" s="344"/>
      <c r="D4" s="344"/>
      <c r="E4" s="344"/>
      <c r="F4" s="344"/>
      <c r="G4" s="342"/>
      <c r="H4" s="342"/>
    </row>
    <row r="5" spans="1:9" ht="15.75">
      <c r="A5" s="340" t="s">
        <v>450</v>
      </c>
      <c r="B5" s="345"/>
      <c r="C5" s="345"/>
      <c r="D5" s="345"/>
      <c r="E5" s="345"/>
      <c r="F5" s="345"/>
      <c r="G5" s="342"/>
      <c r="H5" s="342"/>
    </row>
    <row r="6" spans="1:9" ht="15.75">
      <c r="A6" s="133"/>
      <c r="B6" s="135"/>
      <c r="C6" s="135"/>
      <c r="D6" s="135"/>
      <c r="E6" s="340" t="s">
        <v>446</v>
      </c>
      <c r="F6" s="340"/>
      <c r="G6" s="340"/>
      <c r="H6" s="340"/>
    </row>
    <row r="7" spans="1:9" ht="15.75">
      <c r="A7" s="357" t="s">
        <v>1</v>
      </c>
      <c r="B7" s="357"/>
      <c r="C7" s="357"/>
      <c r="D7" s="357"/>
      <c r="E7" s="357"/>
      <c r="F7" s="357"/>
      <c r="G7" s="357"/>
      <c r="H7" s="136"/>
    </row>
    <row r="8" spans="1:9" ht="32.25" customHeight="1">
      <c r="A8" s="356" t="s">
        <v>400</v>
      </c>
      <c r="B8" s="356"/>
      <c r="C8" s="356"/>
      <c r="D8" s="356"/>
      <c r="E8" s="356"/>
      <c r="F8" s="356"/>
      <c r="G8" s="356"/>
      <c r="H8" s="136"/>
    </row>
    <row r="9" spans="1:9">
      <c r="A9" s="147"/>
      <c r="B9" s="147"/>
      <c r="C9" s="147"/>
      <c r="D9" s="147"/>
      <c r="E9" s="147"/>
      <c r="F9" s="147"/>
      <c r="G9" s="147"/>
      <c r="H9" s="136"/>
    </row>
    <row r="10" spans="1:9">
      <c r="A10" s="138"/>
      <c r="B10" s="138"/>
      <c r="C10" s="138"/>
      <c r="D10" s="139"/>
      <c r="E10" s="138"/>
      <c r="F10" s="116"/>
      <c r="G10" s="358" t="s">
        <v>0</v>
      </c>
      <c r="H10" s="358"/>
    </row>
    <row r="11" spans="1:9" ht="19.5" customHeight="1">
      <c r="A11" s="361" t="s">
        <v>2</v>
      </c>
      <c r="B11" s="364" t="s">
        <v>3</v>
      </c>
      <c r="C11" s="365"/>
      <c r="D11" s="365"/>
      <c r="E11" s="366"/>
      <c r="F11" s="352" t="s">
        <v>199</v>
      </c>
      <c r="G11" s="352" t="s">
        <v>333</v>
      </c>
      <c r="H11" s="370" t="s">
        <v>406</v>
      </c>
    </row>
    <row r="12" spans="1:9">
      <c r="A12" s="362"/>
      <c r="B12" s="354" t="s">
        <v>5</v>
      </c>
      <c r="C12" s="349" t="s">
        <v>6</v>
      </c>
      <c r="D12" s="359" t="s">
        <v>7</v>
      </c>
      <c r="E12" s="349" t="s">
        <v>8</v>
      </c>
      <c r="F12" s="352"/>
      <c r="G12" s="352"/>
      <c r="H12" s="371"/>
    </row>
    <row r="13" spans="1:9" ht="17.25" customHeight="1">
      <c r="A13" s="363"/>
      <c r="B13" s="354"/>
      <c r="C13" s="349"/>
      <c r="D13" s="360"/>
      <c r="E13" s="349"/>
      <c r="F13" s="352"/>
      <c r="G13" s="352"/>
      <c r="H13" s="372"/>
    </row>
    <row r="14" spans="1:9">
      <c r="A14" s="118">
        <v>1</v>
      </c>
      <c r="B14" s="119">
        <v>2</v>
      </c>
      <c r="C14" s="119">
        <v>3</v>
      </c>
      <c r="D14" s="119">
        <v>4</v>
      </c>
      <c r="E14" s="119">
        <v>5</v>
      </c>
      <c r="F14" s="120">
        <v>6</v>
      </c>
      <c r="G14" s="120">
        <v>7</v>
      </c>
      <c r="H14" s="148">
        <v>8</v>
      </c>
    </row>
    <row r="15" spans="1:9" ht="28.5" customHeight="1">
      <c r="A15" s="76" t="s">
        <v>123</v>
      </c>
      <c r="B15" s="77"/>
      <c r="C15" s="77"/>
      <c r="D15" s="140"/>
      <c r="E15" s="77"/>
      <c r="F15" s="74" t="e">
        <f>F18+F24+F30+F35+F40+#REF!+#REF!+F45+F51+F69+#REF!+F74+#REF!+#REF!+#REF!+#REF!+#REF!+#REF!+#REF!+#REF!</f>
        <v>#REF!</v>
      </c>
      <c r="G15" s="86">
        <f>G16+G18+G24+G30+G35+G40+G45+G51+G55+G59+G64+G69+G74</f>
        <v>180260.3</v>
      </c>
      <c r="H15" s="86">
        <f>H18+H24+H30+H35+H40+H45+H51+H55+H59+H64+H69+H74</f>
        <v>300</v>
      </c>
      <c r="I15" s="18"/>
    </row>
    <row r="16" spans="1:9" ht="87" customHeight="1">
      <c r="A16" s="102" t="s">
        <v>447</v>
      </c>
      <c r="B16" s="43" t="s">
        <v>64</v>
      </c>
      <c r="C16" s="43" t="s">
        <v>44</v>
      </c>
      <c r="D16" s="43" t="s">
        <v>399</v>
      </c>
      <c r="E16" s="77"/>
      <c r="F16" s="74" t="e">
        <f>F18</f>
        <v>#REF!</v>
      </c>
      <c r="G16" s="86">
        <f>G17</f>
        <v>400</v>
      </c>
      <c r="H16" s="86">
        <f>H17</f>
        <v>0</v>
      </c>
      <c r="I16" s="18"/>
    </row>
    <row r="17" spans="1:9" ht="28.5" customHeight="1">
      <c r="A17" s="48" t="s">
        <v>9</v>
      </c>
      <c r="B17" s="43" t="s">
        <v>64</v>
      </c>
      <c r="C17" s="43" t="s">
        <v>44</v>
      </c>
      <c r="D17" s="43" t="s">
        <v>399</v>
      </c>
      <c r="E17" s="77"/>
      <c r="F17" s="44" t="e">
        <f>F18</f>
        <v>#REF!</v>
      </c>
      <c r="G17" s="86">
        <v>400</v>
      </c>
      <c r="H17" s="86">
        <v>0</v>
      </c>
      <c r="I17" s="18"/>
    </row>
    <row r="18" spans="1:9" ht="53.25" customHeight="1">
      <c r="A18" s="76" t="s">
        <v>193</v>
      </c>
      <c r="B18" s="77"/>
      <c r="C18" s="77"/>
      <c r="D18" s="140"/>
      <c r="E18" s="77"/>
      <c r="F18" s="74" t="e">
        <f t="shared" ref="F18:G22" si="0">F19</f>
        <v>#REF!</v>
      </c>
      <c r="G18" s="74">
        <f>G19</f>
        <v>4000</v>
      </c>
      <c r="H18" s="86">
        <v>0</v>
      </c>
      <c r="I18" s="18"/>
    </row>
    <row r="19" spans="1:9" ht="22.5" customHeight="1">
      <c r="A19" s="48" t="s">
        <v>124</v>
      </c>
      <c r="B19" s="43" t="s">
        <v>19</v>
      </c>
      <c r="C19" s="43"/>
      <c r="D19" s="141"/>
      <c r="E19" s="43"/>
      <c r="F19" s="44" t="e">
        <f t="shared" si="0"/>
        <v>#REF!</v>
      </c>
      <c r="G19" s="44">
        <f t="shared" si="0"/>
        <v>4000</v>
      </c>
      <c r="H19" s="100">
        <v>0</v>
      </c>
    </row>
    <row r="20" spans="1:9" ht="30.75" customHeight="1">
      <c r="A20" s="48" t="s">
        <v>40</v>
      </c>
      <c r="B20" s="43" t="s">
        <v>19</v>
      </c>
      <c r="C20" s="43" t="s">
        <v>24</v>
      </c>
      <c r="D20" s="141"/>
      <c r="E20" s="43"/>
      <c r="F20" s="44" t="e">
        <f t="shared" si="0"/>
        <v>#REF!</v>
      </c>
      <c r="G20" s="44">
        <f t="shared" si="0"/>
        <v>4000</v>
      </c>
      <c r="H20" s="100">
        <v>0</v>
      </c>
    </row>
    <row r="21" spans="1:9" ht="23.25" customHeight="1">
      <c r="A21" s="134" t="s">
        <v>125</v>
      </c>
      <c r="B21" s="43" t="s">
        <v>19</v>
      </c>
      <c r="C21" s="43" t="s">
        <v>24</v>
      </c>
      <c r="D21" s="43" t="s">
        <v>41</v>
      </c>
      <c r="E21" s="43"/>
      <c r="F21" s="44" t="e">
        <f t="shared" si="0"/>
        <v>#REF!</v>
      </c>
      <c r="G21" s="44">
        <f t="shared" si="0"/>
        <v>4000</v>
      </c>
      <c r="H21" s="100">
        <v>0</v>
      </c>
    </row>
    <row r="22" spans="1:9" ht="45.75" customHeight="1">
      <c r="A22" s="48" t="s">
        <v>142</v>
      </c>
      <c r="B22" s="43" t="s">
        <v>19</v>
      </c>
      <c r="C22" s="43" t="s">
        <v>24</v>
      </c>
      <c r="D22" s="43" t="s">
        <v>131</v>
      </c>
      <c r="E22" s="43"/>
      <c r="F22" s="44" t="e">
        <f t="shared" si="0"/>
        <v>#REF!</v>
      </c>
      <c r="G22" s="44">
        <f t="shared" si="0"/>
        <v>4000</v>
      </c>
      <c r="H22" s="100">
        <v>0</v>
      </c>
    </row>
    <row r="23" spans="1:9" ht="57.75" customHeight="1">
      <c r="A23" s="48" t="s">
        <v>376</v>
      </c>
      <c r="B23" s="43" t="s">
        <v>19</v>
      </c>
      <c r="C23" s="43" t="s">
        <v>24</v>
      </c>
      <c r="D23" s="43" t="s">
        <v>131</v>
      </c>
      <c r="E23" s="43" t="s">
        <v>172</v>
      </c>
      <c r="F23" s="44" t="e">
        <f>прил.4!#REF!</f>
        <v>#REF!</v>
      </c>
      <c r="G23" s="44">
        <v>4000</v>
      </c>
      <c r="H23" s="100">
        <v>0</v>
      </c>
    </row>
    <row r="24" spans="1:9" ht="33.75" customHeight="1">
      <c r="A24" s="76" t="s">
        <v>194</v>
      </c>
      <c r="B24" s="77"/>
      <c r="C24" s="77"/>
      <c r="D24" s="140"/>
      <c r="E24" s="77"/>
      <c r="F24" s="74">
        <f t="shared" ref="F24:G28" si="1">F25</f>
        <v>750</v>
      </c>
      <c r="G24" s="74">
        <f t="shared" si="1"/>
        <v>850</v>
      </c>
      <c r="H24" s="86">
        <f>H25</f>
        <v>0</v>
      </c>
    </row>
    <row r="25" spans="1:9" ht="20.25" customHeight="1">
      <c r="A25" s="48" t="s">
        <v>114</v>
      </c>
      <c r="B25" s="43" t="s">
        <v>64</v>
      </c>
      <c r="C25" s="43"/>
      <c r="D25" s="141"/>
      <c r="E25" s="43"/>
      <c r="F25" s="44">
        <f t="shared" si="1"/>
        <v>750</v>
      </c>
      <c r="G25" s="44">
        <f t="shared" si="1"/>
        <v>850</v>
      </c>
      <c r="H25" s="100">
        <v>0</v>
      </c>
    </row>
    <row r="26" spans="1:9" ht="25.5">
      <c r="A26" s="78" t="s">
        <v>74</v>
      </c>
      <c r="B26" s="43" t="s">
        <v>64</v>
      </c>
      <c r="C26" s="43" t="s">
        <v>64</v>
      </c>
      <c r="D26" s="141"/>
      <c r="E26" s="43"/>
      <c r="F26" s="44">
        <f t="shared" si="1"/>
        <v>750</v>
      </c>
      <c r="G26" s="44">
        <f t="shared" si="1"/>
        <v>850</v>
      </c>
      <c r="H26" s="100">
        <v>0</v>
      </c>
    </row>
    <row r="27" spans="1:9" ht="32.25" customHeight="1">
      <c r="A27" s="78" t="s">
        <v>29</v>
      </c>
      <c r="B27" s="43" t="s">
        <v>64</v>
      </c>
      <c r="C27" s="43" t="s">
        <v>64</v>
      </c>
      <c r="D27" s="43" t="s">
        <v>30</v>
      </c>
      <c r="E27" s="43"/>
      <c r="F27" s="44">
        <f t="shared" si="1"/>
        <v>750</v>
      </c>
      <c r="G27" s="44">
        <f t="shared" si="1"/>
        <v>850</v>
      </c>
      <c r="H27" s="100">
        <v>0</v>
      </c>
    </row>
    <row r="28" spans="1:9" ht="33" customHeight="1">
      <c r="A28" s="78" t="s">
        <v>29</v>
      </c>
      <c r="B28" s="43" t="s">
        <v>64</v>
      </c>
      <c r="C28" s="43" t="s">
        <v>64</v>
      </c>
      <c r="D28" s="43" t="s">
        <v>31</v>
      </c>
      <c r="E28" s="43"/>
      <c r="F28" s="44">
        <f t="shared" si="1"/>
        <v>750</v>
      </c>
      <c r="G28" s="44">
        <f t="shared" si="1"/>
        <v>850</v>
      </c>
      <c r="H28" s="100">
        <v>0</v>
      </c>
    </row>
    <row r="29" spans="1:9" ht="41.25" customHeight="1">
      <c r="A29" s="78" t="s">
        <v>170</v>
      </c>
      <c r="B29" s="43" t="s">
        <v>64</v>
      </c>
      <c r="C29" s="43" t="s">
        <v>64</v>
      </c>
      <c r="D29" s="43" t="s">
        <v>31</v>
      </c>
      <c r="E29" s="43" t="s">
        <v>168</v>
      </c>
      <c r="F29" s="44">
        <v>750</v>
      </c>
      <c r="G29" s="44">
        <v>850</v>
      </c>
      <c r="H29" s="100">
        <v>0</v>
      </c>
    </row>
    <row r="30" spans="1:9" ht="44.25" customHeight="1">
      <c r="A30" s="102" t="s">
        <v>182</v>
      </c>
      <c r="B30" s="77"/>
      <c r="C30" s="77"/>
      <c r="D30" s="77"/>
      <c r="E30" s="77"/>
      <c r="F30" s="74">
        <f t="shared" ref="F30:G33" si="2">F31</f>
        <v>22925</v>
      </c>
      <c r="G30" s="74">
        <v>4500</v>
      </c>
      <c r="H30" s="86">
        <v>0</v>
      </c>
    </row>
    <row r="31" spans="1:9" ht="21.75" customHeight="1">
      <c r="A31" s="78" t="s">
        <v>144</v>
      </c>
      <c r="B31" s="43" t="s">
        <v>81</v>
      </c>
      <c r="C31" s="43"/>
      <c r="D31" s="43"/>
      <c r="E31" s="43"/>
      <c r="F31" s="44">
        <f t="shared" si="2"/>
        <v>22925</v>
      </c>
      <c r="G31" s="44">
        <f t="shared" si="2"/>
        <v>4500</v>
      </c>
      <c r="H31" s="100">
        <v>0</v>
      </c>
    </row>
    <row r="32" spans="1:9" ht="19.5" customHeight="1">
      <c r="A32" s="48" t="s">
        <v>82</v>
      </c>
      <c r="B32" s="43" t="s">
        <v>81</v>
      </c>
      <c r="C32" s="43" t="s">
        <v>10</v>
      </c>
      <c r="D32" s="43"/>
      <c r="E32" s="43"/>
      <c r="F32" s="44">
        <f t="shared" si="2"/>
        <v>22925</v>
      </c>
      <c r="G32" s="44">
        <f t="shared" si="2"/>
        <v>4500</v>
      </c>
      <c r="H32" s="100">
        <v>0</v>
      </c>
    </row>
    <row r="33" spans="1:8" ht="42.75" customHeight="1">
      <c r="A33" s="78" t="s">
        <v>126</v>
      </c>
      <c r="B33" s="43" t="s">
        <v>81</v>
      </c>
      <c r="C33" s="43" t="s">
        <v>10</v>
      </c>
      <c r="D33" s="43" t="s">
        <v>153</v>
      </c>
      <c r="E33" s="43"/>
      <c r="F33" s="44">
        <f t="shared" si="2"/>
        <v>22925</v>
      </c>
      <c r="G33" s="44">
        <f t="shared" si="2"/>
        <v>4500</v>
      </c>
      <c r="H33" s="100">
        <v>0</v>
      </c>
    </row>
    <row r="34" spans="1:8" ht="33.75" customHeight="1">
      <c r="A34" s="78" t="s">
        <v>170</v>
      </c>
      <c r="B34" s="43" t="s">
        <v>81</v>
      </c>
      <c r="C34" s="43" t="s">
        <v>10</v>
      </c>
      <c r="D34" s="43" t="s">
        <v>153</v>
      </c>
      <c r="E34" s="43" t="s">
        <v>168</v>
      </c>
      <c r="F34" s="44">
        <v>22925</v>
      </c>
      <c r="G34" s="44">
        <v>4500</v>
      </c>
      <c r="H34" s="100">
        <v>0</v>
      </c>
    </row>
    <row r="35" spans="1:8" ht="53.25" customHeight="1">
      <c r="A35" s="137" t="s">
        <v>186</v>
      </c>
      <c r="B35" s="77"/>
      <c r="C35" s="77"/>
      <c r="D35" s="77"/>
      <c r="E35" s="77"/>
      <c r="F35" s="74">
        <f t="shared" ref="F35:G38" si="3">F36</f>
        <v>3000</v>
      </c>
      <c r="G35" s="74">
        <f t="shared" si="3"/>
        <v>4000</v>
      </c>
      <c r="H35" s="86">
        <v>0</v>
      </c>
    </row>
    <row r="36" spans="1:8" ht="17.25" customHeight="1">
      <c r="A36" s="78" t="s">
        <v>90</v>
      </c>
      <c r="B36" s="43" t="s">
        <v>22</v>
      </c>
      <c r="C36" s="43"/>
      <c r="D36" s="43"/>
      <c r="E36" s="43"/>
      <c r="F36" s="44">
        <f t="shared" si="3"/>
        <v>3000</v>
      </c>
      <c r="G36" s="44">
        <f t="shared" si="3"/>
        <v>4000</v>
      </c>
      <c r="H36" s="100">
        <v>0</v>
      </c>
    </row>
    <row r="37" spans="1:8" ht="25.5">
      <c r="A37" s="78" t="s">
        <v>139</v>
      </c>
      <c r="B37" s="43" t="s">
        <v>22</v>
      </c>
      <c r="C37" s="43" t="s">
        <v>44</v>
      </c>
      <c r="D37" s="43"/>
      <c r="E37" s="43"/>
      <c r="F37" s="44">
        <f t="shared" si="3"/>
        <v>3000</v>
      </c>
      <c r="G37" s="44">
        <f t="shared" si="3"/>
        <v>4000</v>
      </c>
      <c r="H37" s="100">
        <v>0</v>
      </c>
    </row>
    <row r="38" spans="1:8" ht="51.75" customHeight="1">
      <c r="A38" s="78" t="s">
        <v>127</v>
      </c>
      <c r="B38" s="43" t="s">
        <v>22</v>
      </c>
      <c r="C38" s="43" t="s">
        <v>44</v>
      </c>
      <c r="D38" s="43" t="s">
        <v>152</v>
      </c>
      <c r="E38" s="43"/>
      <c r="F38" s="44">
        <f t="shared" si="3"/>
        <v>3000</v>
      </c>
      <c r="G38" s="44">
        <f t="shared" si="3"/>
        <v>4000</v>
      </c>
      <c r="H38" s="100">
        <v>0</v>
      </c>
    </row>
    <row r="39" spans="1:8" ht="36.75" customHeight="1">
      <c r="A39" s="78" t="s">
        <v>170</v>
      </c>
      <c r="B39" s="43" t="s">
        <v>22</v>
      </c>
      <c r="C39" s="43" t="s">
        <v>44</v>
      </c>
      <c r="D39" s="43" t="s">
        <v>152</v>
      </c>
      <c r="E39" s="43" t="s">
        <v>168</v>
      </c>
      <c r="F39" s="44">
        <v>3000</v>
      </c>
      <c r="G39" s="44">
        <v>4000</v>
      </c>
      <c r="H39" s="100">
        <v>0</v>
      </c>
    </row>
    <row r="40" spans="1:8" ht="40.5" customHeight="1">
      <c r="A40" s="48" t="s">
        <v>448</v>
      </c>
      <c r="B40" s="77"/>
      <c r="C40" s="77"/>
      <c r="D40" s="77"/>
      <c r="E40" s="77"/>
      <c r="F40" s="74">
        <f>F42</f>
        <v>12900</v>
      </c>
      <c r="G40" s="74">
        <f>G42</f>
        <v>15400</v>
      </c>
      <c r="H40" s="86">
        <v>0</v>
      </c>
    </row>
    <row r="41" spans="1:8" ht="18.75" customHeight="1">
      <c r="A41" s="48" t="s">
        <v>128</v>
      </c>
      <c r="B41" s="43" t="s">
        <v>94</v>
      </c>
      <c r="C41" s="43"/>
      <c r="D41" s="43"/>
      <c r="E41" s="43"/>
      <c r="F41" s="44">
        <f t="shared" ref="F41:G43" si="4">F42</f>
        <v>12900</v>
      </c>
      <c r="G41" s="44">
        <f t="shared" si="4"/>
        <v>15400</v>
      </c>
      <c r="H41" s="100">
        <v>0</v>
      </c>
    </row>
    <row r="42" spans="1:8" ht="18.75" customHeight="1">
      <c r="A42" s="48" t="s">
        <v>103</v>
      </c>
      <c r="B42" s="43" t="s">
        <v>94</v>
      </c>
      <c r="C42" s="43" t="s">
        <v>12</v>
      </c>
      <c r="D42" s="43"/>
      <c r="E42" s="43"/>
      <c r="F42" s="84">
        <f t="shared" si="4"/>
        <v>12900</v>
      </c>
      <c r="G42" s="84">
        <f t="shared" si="4"/>
        <v>15400</v>
      </c>
      <c r="H42" s="100">
        <v>0</v>
      </c>
    </row>
    <row r="43" spans="1:8" ht="46.5" customHeight="1">
      <c r="A43" s="48" t="s">
        <v>448</v>
      </c>
      <c r="B43" s="43" t="s">
        <v>94</v>
      </c>
      <c r="C43" s="43" t="s">
        <v>12</v>
      </c>
      <c r="D43" s="43" t="s">
        <v>151</v>
      </c>
      <c r="E43" s="132"/>
      <c r="F43" s="84">
        <f t="shared" si="4"/>
        <v>12900</v>
      </c>
      <c r="G43" s="84">
        <f t="shared" si="4"/>
        <v>15400</v>
      </c>
      <c r="H43" s="100">
        <v>0</v>
      </c>
    </row>
    <row r="44" spans="1:8" ht="36" customHeight="1">
      <c r="A44" s="78" t="s">
        <v>237</v>
      </c>
      <c r="B44" s="43" t="s">
        <v>94</v>
      </c>
      <c r="C44" s="43" t="s">
        <v>12</v>
      </c>
      <c r="D44" s="43" t="s">
        <v>151</v>
      </c>
      <c r="E44" s="132">
        <v>314</v>
      </c>
      <c r="F44" s="84">
        <v>12900</v>
      </c>
      <c r="G44" s="84">
        <v>15400</v>
      </c>
      <c r="H44" s="100">
        <v>0</v>
      </c>
    </row>
    <row r="45" spans="1:8" ht="58.5" customHeight="1">
      <c r="A45" s="137" t="s">
        <v>195</v>
      </c>
      <c r="B45" s="77"/>
      <c r="C45" s="77"/>
      <c r="D45" s="77"/>
      <c r="E45" s="87"/>
      <c r="F45" s="85">
        <f t="shared" ref="F45:G49" si="5">F46</f>
        <v>90000</v>
      </c>
      <c r="G45" s="86">
        <v>123272</v>
      </c>
      <c r="H45" s="86">
        <v>0</v>
      </c>
    </row>
    <row r="46" spans="1:8" ht="20.25" customHeight="1">
      <c r="A46" s="78" t="str">
        <f>прил.4!A284</f>
        <v>ОБРАЗОВАНИЕ</v>
      </c>
      <c r="B46" s="142" t="str">
        <f>прил.4!C284</f>
        <v>07</v>
      </c>
      <c r="C46" s="142"/>
      <c r="D46" s="142"/>
      <c r="E46" s="142"/>
      <c r="F46" s="44">
        <f t="shared" si="5"/>
        <v>90000</v>
      </c>
      <c r="G46" s="44">
        <f t="shared" si="5"/>
        <v>123272</v>
      </c>
      <c r="H46" s="100">
        <v>0</v>
      </c>
    </row>
    <row r="47" spans="1:8" ht="20.25" customHeight="1">
      <c r="A47" s="78" t="str">
        <f>прил.4!A301</f>
        <v>Общее образование</v>
      </c>
      <c r="B47" s="142" t="str">
        <f>прил.4!C301</f>
        <v>07</v>
      </c>
      <c r="C47" s="142" t="str">
        <f>прил.4!D301</f>
        <v>02</v>
      </c>
      <c r="D47" s="142"/>
      <c r="E47" s="142"/>
      <c r="F47" s="44">
        <f t="shared" si="5"/>
        <v>90000</v>
      </c>
      <c r="G47" s="44">
        <f t="shared" si="5"/>
        <v>123272</v>
      </c>
      <c r="H47" s="100">
        <v>0</v>
      </c>
    </row>
    <row r="48" spans="1:8" ht="31.5" customHeight="1">
      <c r="A48" s="78" t="e">
        <f>прил.4!#REF!</f>
        <v>#REF!</v>
      </c>
      <c r="B48" s="142" t="e">
        <f>прил.4!#REF!</f>
        <v>#REF!</v>
      </c>
      <c r="C48" s="142" t="e">
        <f>прил.4!#REF!</f>
        <v>#REF!</v>
      </c>
      <c r="D48" s="43" t="s">
        <v>278</v>
      </c>
      <c r="E48" s="142"/>
      <c r="F48" s="44">
        <f t="shared" si="5"/>
        <v>90000</v>
      </c>
      <c r="G48" s="44">
        <f t="shared" si="5"/>
        <v>123272</v>
      </c>
      <c r="H48" s="100">
        <v>0</v>
      </c>
    </row>
    <row r="49" spans="1:10" ht="36" customHeight="1">
      <c r="A49" s="78" t="e">
        <f>прил.4!#REF!</f>
        <v>#REF!</v>
      </c>
      <c r="B49" s="142" t="e">
        <f>прил.4!#REF!</f>
        <v>#REF!</v>
      </c>
      <c r="C49" s="142" t="e">
        <f>прил.4!#REF!</f>
        <v>#REF!</v>
      </c>
      <c r="D49" s="43" t="s">
        <v>278</v>
      </c>
      <c r="E49" s="142"/>
      <c r="F49" s="44">
        <f t="shared" si="5"/>
        <v>90000</v>
      </c>
      <c r="G49" s="44">
        <f t="shared" si="5"/>
        <v>123272</v>
      </c>
      <c r="H49" s="100">
        <v>0</v>
      </c>
    </row>
    <row r="50" spans="1:10" ht="44.25" customHeight="1">
      <c r="A50" s="78" t="e">
        <f>прил.4!#REF!</f>
        <v>#REF!</v>
      </c>
      <c r="B50" s="142" t="e">
        <f>прил.4!#REF!</f>
        <v>#REF!</v>
      </c>
      <c r="C50" s="142" t="e">
        <f>прил.4!#REF!</f>
        <v>#REF!</v>
      </c>
      <c r="D50" s="43" t="s">
        <v>278</v>
      </c>
      <c r="E50" s="149">
        <v>413</v>
      </c>
      <c r="F50" s="44">
        <v>90000</v>
      </c>
      <c r="G50" s="44">
        <v>123272</v>
      </c>
      <c r="H50" s="100">
        <v>0</v>
      </c>
      <c r="J50" s="18"/>
    </row>
    <row r="51" spans="1:10" ht="60" customHeight="1">
      <c r="A51" s="137" t="s">
        <v>442</v>
      </c>
      <c r="B51" s="142" t="e">
        <f>прил.4!#REF!</f>
        <v>#REF!</v>
      </c>
      <c r="C51" s="132"/>
      <c r="D51" s="132"/>
      <c r="E51" s="132"/>
      <c r="F51" s="85">
        <v>45</v>
      </c>
      <c r="G51" s="86">
        <f t="shared" ref="G51:H53" si="6">G52</f>
        <v>50</v>
      </c>
      <c r="H51" s="86">
        <f t="shared" si="6"/>
        <v>50</v>
      </c>
    </row>
    <row r="52" spans="1:10" ht="25.5">
      <c r="A52" s="78" t="s">
        <v>74</v>
      </c>
      <c r="B52" s="43" t="s">
        <v>64</v>
      </c>
      <c r="C52" s="43" t="s">
        <v>64</v>
      </c>
      <c r="D52" s="43"/>
      <c r="E52" s="43"/>
      <c r="F52" s="44">
        <f>F53</f>
        <v>50</v>
      </c>
      <c r="G52" s="100">
        <f t="shared" si="6"/>
        <v>50</v>
      </c>
      <c r="H52" s="100">
        <f t="shared" si="6"/>
        <v>50</v>
      </c>
    </row>
    <row r="53" spans="1:10" ht="28.5" customHeight="1">
      <c r="A53" s="78" t="s">
        <v>29</v>
      </c>
      <c r="B53" s="43" t="s">
        <v>64</v>
      </c>
      <c r="C53" s="43" t="s">
        <v>64</v>
      </c>
      <c r="D53" s="43" t="s">
        <v>30</v>
      </c>
      <c r="E53" s="43"/>
      <c r="F53" s="44">
        <f>F54</f>
        <v>50</v>
      </c>
      <c r="G53" s="100">
        <f t="shared" si="6"/>
        <v>50</v>
      </c>
      <c r="H53" s="100">
        <f t="shared" si="6"/>
        <v>50</v>
      </c>
    </row>
    <row r="54" spans="1:10" ht="33.75" customHeight="1">
      <c r="A54" s="78" t="s">
        <v>207</v>
      </c>
      <c r="B54" s="43" t="s">
        <v>64</v>
      </c>
      <c r="C54" s="43" t="s">
        <v>64</v>
      </c>
      <c r="D54" s="43" t="s">
        <v>31</v>
      </c>
      <c r="E54" s="43" t="s">
        <v>168</v>
      </c>
      <c r="F54" s="44">
        <v>50</v>
      </c>
      <c r="G54" s="100">
        <v>50</v>
      </c>
      <c r="H54" s="100">
        <v>50</v>
      </c>
    </row>
    <row r="55" spans="1:10" ht="54" customHeight="1">
      <c r="A55" s="137" t="s">
        <v>439</v>
      </c>
      <c r="B55" s="143"/>
      <c r="C55" s="143"/>
      <c r="D55" s="144"/>
      <c r="E55" s="143"/>
      <c r="F55" s="44"/>
      <c r="G55" s="86">
        <f t="shared" ref="G55:H57" si="7">G56</f>
        <v>150</v>
      </c>
      <c r="H55" s="86">
        <f t="shared" si="7"/>
        <v>150</v>
      </c>
    </row>
    <row r="56" spans="1:10" ht="19.5" customHeight="1">
      <c r="A56" s="78" t="s">
        <v>114</v>
      </c>
      <c r="B56" s="43" t="s">
        <v>64</v>
      </c>
      <c r="C56" s="43"/>
      <c r="D56" s="43"/>
      <c r="E56" s="43"/>
      <c r="F56" s="44"/>
      <c r="G56" s="100">
        <f>G57</f>
        <v>150</v>
      </c>
      <c r="H56" s="100">
        <f>H57</f>
        <v>150</v>
      </c>
    </row>
    <row r="57" spans="1:10" ht="51.75" customHeight="1">
      <c r="A57" s="109" t="s">
        <v>440</v>
      </c>
      <c r="B57" s="43" t="s">
        <v>64</v>
      </c>
      <c r="C57" s="43" t="s">
        <v>64</v>
      </c>
      <c r="D57" s="43" t="s">
        <v>276</v>
      </c>
      <c r="E57" s="43"/>
      <c r="F57" s="44"/>
      <c r="G57" s="100">
        <f t="shared" si="7"/>
        <v>150</v>
      </c>
      <c r="H57" s="100">
        <f t="shared" si="7"/>
        <v>150</v>
      </c>
    </row>
    <row r="58" spans="1:10" ht="33.75" customHeight="1">
      <c r="A58" s="78" t="s">
        <v>207</v>
      </c>
      <c r="B58" s="43" t="s">
        <v>64</v>
      </c>
      <c r="C58" s="43" t="s">
        <v>64</v>
      </c>
      <c r="D58" s="43" t="s">
        <v>276</v>
      </c>
      <c r="E58" s="43" t="s">
        <v>168</v>
      </c>
      <c r="F58" s="44"/>
      <c r="G58" s="100">
        <v>150</v>
      </c>
      <c r="H58" s="100">
        <v>150</v>
      </c>
    </row>
    <row r="59" spans="1:10" ht="59.25" customHeight="1">
      <c r="A59" s="137" t="s">
        <v>438</v>
      </c>
      <c r="B59" s="132"/>
      <c r="C59" s="132"/>
      <c r="D59" s="132"/>
      <c r="E59" s="132"/>
      <c r="F59" s="44"/>
      <c r="G59" s="86">
        <f t="shared" ref="G59:H62" si="8">G60</f>
        <v>50</v>
      </c>
      <c r="H59" s="86">
        <f t="shared" si="8"/>
        <v>50</v>
      </c>
    </row>
    <row r="60" spans="1:10" ht="23.25" customHeight="1">
      <c r="A60" s="78" t="s">
        <v>114</v>
      </c>
      <c r="B60" s="43" t="s">
        <v>64</v>
      </c>
      <c r="C60" s="43"/>
      <c r="D60" s="144"/>
      <c r="E60" s="143"/>
      <c r="F60" s="44"/>
      <c r="G60" s="100">
        <f t="shared" si="8"/>
        <v>50</v>
      </c>
      <c r="H60" s="100">
        <f t="shared" si="8"/>
        <v>50</v>
      </c>
    </row>
    <row r="61" spans="1:10" ht="23.25" customHeight="1">
      <c r="A61" s="78" t="s">
        <v>74</v>
      </c>
      <c r="B61" s="43" t="s">
        <v>64</v>
      </c>
      <c r="C61" s="43" t="s">
        <v>64</v>
      </c>
      <c r="D61" s="43"/>
      <c r="E61" s="43"/>
      <c r="F61" s="44"/>
      <c r="G61" s="100">
        <f t="shared" si="8"/>
        <v>50</v>
      </c>
      <c r="H61" s="100">
        <f t="shared" si="8"/>
        <v>50</v>
      </c>
    </row>
    <row r="62" spans="1:10" ht="26.25" customHeight="1">
      <c r="A62" s="78" t="s">
        <v>29</v>
      </c>
      <c r="B62" s="43" t="s">
        <v>64</v>
      </c>
      <c r="C62" s="43" t="s">
        <v>64</v>
      </c>
      <c r="D62" s="43" t="s">
        <v>30</v>
      </c>
      <c r="E62" s="43"/>
      <c r="F62" s="44"/>
      <c r="G62" s="100">
        <f t="shared" si="8"/>
        <v>50</v>
      </c>
      <c r="H62" s="100">
        <f t="shared" si="8"/>
        <v>50</v>
      </c>
    </row>
    <row r="63" spans="1:10" ht="33.75" customHeight="1">
      <c r="A63" s="78" t="s">
        <v>207</v>
      </c>
      <c r="B63" s="43" t="s">
        <v>64</v>
      </c>
      <c r="C63" s="43" t="s">
        <v>64</v>
      </c>
      <c r="D63" s="43" t="s">
        <v>31</v>
      </c>
      <c r="E63" s="43" t="s">
        <v>168</v>
      </c>
      <c r="F63" s="44"/>
      <c r="G63" s="100">
        <v>50</v>
      </c>
      <c r="H63" s="100">
        <v>50</v>
      </c>
    </row>
    <row r="64" spans="1:10" ht="40.5" customHeight="1">
      <c r="A64" s="137" t="s">
        <v>441</v>
      </c>
      <c r="B64" s="143"/>
      <c r="C64" s="143"/>
      <c r="D64" s="144"/>
      <c r="E64" s="143"/>
      <c r="F64" s="44"/>
      <c r="G64" s="86">
        <f t="shared" ref="G64:H67" si="9">G65</f>
        <v>50</v>
      </c>
      <c r="H64" s="86">
        <f t="shared" si="9"/>
        <v>50</v>
      </c>
    </row>
    <row r="65" spans="1:8" ht="29.25" customHeight="1">
      <c r="A65" s="48" t="s">
        <v>198</v>
      </c>
      <c r="B65" s="79" t="s">
        <v>10</v>
      </c>
      <c r="C65" s="143"/>
      <c r="D65" s="144"/>
      <c r="E65" s="143"/>
      <c r="F65" s="44"/>
      <c r="G65" s="100">
        <f t="shared" si="9"/>
        <v>50</v>
      </c>
      <c r="H65" s="100">
        <f t="shared" si="9"/>
        <v>50</v>
      </c>
    </row>
    <row r="66" spans="1:8" ht="26.25" customHeight="1">
      <c r="A66" s="78" t="s">
        <v>28</v>
      </c>
      <c r="B66" s="79" t="s">
        <v>10</v>
      </c>
      <c r="C66" s="43" t="s">
        <v>154</v>
      </c>
      <c r="D66" s="43"/>
      <c r="E66" s="43"/>
      <c r="F66" s="44"/>
      <c r="G66" s="100">
        <f t="shared" si="9"/>
        <v>50</v>
      </c>
      <c r="H66" s="100">
        <f t="shared" si="9"/>
        <v>50</v>
      </c>
    </row>
    <row r="67" spans="1:8" ht="42" customHeight="1">
      <c r="A67" s="109" t="s">
        <v>441</v>
      </c>
      <c r="B67" s="79" t="s">
        <v>10</v>
      </c>
      <c r="C67" s="43" t="s">
        <v>154</v>
      </c>
      <c r="D67" s="43" t="s">
        <v>296</v>
      </c>
      <c r="E67" s="43"/>
      <c r="F67" s="44"/>
      <c r="G67" s="100">
        <f t="shared" si="9"/>
        <v>50</v>
      </c>
      <c r="H67" s="100">
        <f t="shared" si="9"/>
        <v>50</v>
      </c>
    </row>
    <row r="68" spans="1:8" ht="33.75" customHeight="1">
      <c r="A68" s="78" t="s">
        <v>207</v>
      </c>
      <c r="B68" s="79" t="s">
        <v>10</v>
      </c>
      <c r="C68" s="43" t="s">
        <v>154</v>
      </c>
      <c r="D68" s="43" t="s">
        <v>296</v>
      </c>
      <c r="E68" s="43" t="s">
        <v>168</v>
      </c>
      <c r="F68" s="44"/>
      <c r="G68" s="100">
        <v>50</v>
      </c>
      <c r="H68" s="100">
        <v>50</v>
      </c>
    </row>
    <row r="69" spans="1:8" ht="43.5" customHeight="1">
      <c r="A69" s="137" t="s">
        <v>428</v>
      </c>
      <c r="B69" s="143"/>
      <c r="C69" s="143"/>
      <c r="D69" s="144"/>
      <c r="E69" s="143"/>
      <c r="F69" s="85">
        <f t="shared" ref="F69:H72" si="10">F70</f>
        <v>100</v>
      </c>
      <c r="G69" s="86">
        <v>1638.3</v>
      </c>
      <c r="H69" s="86">
        <v>0</v>
      </c>
    </row>
    <row r="70" spans="1:8" ht="20.25" customHeight="1">
      <c r="A70" s="48" t="s">
        <v>128</v>
      </c>
      <c r="B70" s="43" t="s">
        <v>94</v>
      </c>
      <c r="C70" s="43"/>
      <c r="D70" s="43"/>
      <c r="E70" s="43"/>
      <c r="F70" s="44">
        <f t="shared" si="10"/>
        <v>100</v>
      </c>
      <c r="G70" s="150">
        <f t="shared" si="10"/>
        <v>1638.3</v>
      </c>
      <c r="H70" s="150">
        <f t="shared" si="10"/>
        <v>0</v>
      </c>
    </row>
    <row r="71" spans="1:8" ht="18" customHeight="1">
      <c r="A71" s="78" t="s">
        <v>103</v>
      </c>
      <c r="B71" s="43" t="s">
        <v>94</v>
      </c>
      <c r="C71" s="43" t="s">
        <v>12</v>
      </c>
      <c r="D71" s="43"/>
      <c r="E71" s="43"/>
      <c r="F71" s="44">
        <f t="shared" si="10"/>
        <v>100</v>
      </c>
      <c r="G71" s="150">
        <f t="shared" si="10"/>
        <v>1638.3</v>
      </c>
      <c r="H71" s="150">
        <f t="shared" si="10"/>
        <v>0</v>
      </c>
    </row>
    <row r="72" spans="1:8" ht="48" customHeight="1">
      <c r="A72" s="109" t="s">
        <v>428</v>
      </c>
      <c r="B72" s="43" t="s">
        <v>94</v>
      </c>
      <c r="C72" s="43" t="s">
        <v>12</v>
      </c>
      <c r="D72" s="43" t="s">
        <v>275</v>
      </c>
      <c r="E72" s="43"/>
      <c r="F72" s="44">
        <f t="shared" si="10"/>
        <v>100</v>
      </c>
      <c r="G72" s="100">
        <f t="shared" si="10"/>
        <v>1638.3</v>
      </c>
      <c r="H72" s="100">
        <f t="shared" si="10"/>
        <v>0</v>
      </c>
    </row>
    <row r="73" spans="1:8" ht="38.25">
      <c r="A73" s="78" t="s">
        <v>207</v>
      </c>
      <c r="B73" s="43" t="s">
        <v>94</v>
      </c>
      <c r="C73" s="43" t="s">
        <v>12</v>
      </c>
      <c r="D73" s="43" t="s">
        <v>275</v>
      </c>
      <c r="E73" s="43" t="s">
        <v>168</v>
      </c>
      <c r="F73" s="44">
        <v>100</v>
      </c>
      <c r="G73" s="100">
        <v>1638.3</v>
      </c>
      <c r="H73" s="100">
        <v>0</v>
      </c>
    </row>
    <row r="74" spans="1:8" ht="66.75" customHeight="1">
      <c r="A74" s="102" t="s">
        <v>449</v>
      </c>
      <c r="B74" s="143"/>
      <c r="C74" s="143"/>
      <c r="D74" s="144"/>
      <c r="E74" s="143"/>
      <c r="F74" s="85">
        <f t="shared" ref="F74:G77" si="11">F75</f>
        <v>2000</v>
      </c>
      <c r="G74" s="85">
        <f t="shared" si="11"/>
        <v>25900</v>
      </c>
      <c r="H74" s="86">
        <f>H75</f>
        <v>0</v>
      </c>
    </row>
    <row r="75" spans="1:8" ht="25.5" customHeight="1">
      <c r="A75" s="48" t="s">
        <v>268</v>
      </c>
      <c r="B75" s="79" t="s">
        <v>44</v>
      </c>
      <c r="C75" s="143"/>
      <c r="D75" s="144"/>
      <c r="E75" s="143"/>
      <c r="F75" s="84">
        <f t="shared" si="11"/>
        <v>2000</v>
      </c>
      <c r="G75" s="84">
        <f t="shared" si="11"/>
        <v>25900</v>
      </c>
      <c r="H75" s="100">
        <f>H76</f>
        <v>0</v>
      </c>
    </row>
    <row r="76" spans="1:8" ht="17.25" customHeight="1">
      <c r="A76" s="48" t="s">
        <v>293</v>
      </c>
      <c r="B76" s="79" t="s">
        <v>44</v>
      </c>
      <c r="C76" s="43" t="s">
        <v>50</v>
      </c>
      <c r="D76" s="43"/>
      <c r="E76" s="43"/>
      <c r="F76" s="84">
        <f t="shared" si="11"/>
        <v>2000</v>
      </c>
      <c r="G76" s="84">
        <f t="shared" si="11"/>
        <v>25900</v>
      </c>
      <c r="H76" s="100">
        <f>H77</f>
        <v>0</v>
      </c>
    </row>
    <row r="77" spans="1:8" ht="25.5">
      <c r="A77" s="78" t="s">
        <v>29</v>
      </c>
      <c r="B77" s="79" t="s">
        <v>44</v>
      </c>
      <c r="C77" s="43" t="s">
        <v>50</v>
      </c>
      <c r="D77" s="43" t="s">
        <v>31</v>
      </c>
      <c r="E77" s="43"/>
      <c r="F77" s="84">
        <f t="shared" si="11"/>
        <v>2000</v>
      </c>
      <c r="G77" s="84">
        <f t="shared" si="11"/>
        <v>25900</v>
      </c>
      <c r="H77" s="100">
        <f>H78</f>
        <v>0</v>
      </c>
    </row>
    <row r="78" spans="1:8" ht="38.25">
      <c r="A78" s="78" t="s">
        <v>207</v>
      </c>
      <c r="B78" s="79" t="s">
        <v>44</v>
      </c>
      <c r="C78" s="43" t="s">
        <v>50</v>
      </c>
      <c r="D78" s="43" t="s">
        <v>31</v>
      </c>
      <c r="E78" s="43" t="s">
        <v>168</v>
      </c>
      <c r="F78" s="84">
        <v>2000</v>
      </c>
      <c r="G78" s="84">
        <v>25900</v>
      </c>
      <c r="H78" s="100">
        <v>0</v>
      </c>
    </row>
    <row r="79" spans="1:8">
      <c r="A79" s="81"/>
      <c r="B79" s="82"/>
      <c r="C79" s="82"/>
      <c r="D79" s="82"/>
      <c r="E79" s="82"/>
      <c r="F79" s="151"/>
      <c r="G79" s="101"/>
      <c r="H79" s="136"/>
    </row>
    <row r="80" spans="1:8">
      <c r="A80" s="81"/>
      <c r="B80" s="82"/>
      <c r="C80" s="82"/>
      <c r="D80" s="82"/>
      <c r="E80" s="82"/>
      <c r="F80" s="151"/>
      <c r="G80" s="101"/>
      <c r="H80" s="136"/>
    </row>
    <row r="81" spans="1:8">
      <c r="A81" s="81"/>
      <c r="B81" s="82"/>
      <c r="C81" s="82"/>
      <c r="D81" s="82"/>
      <c r="E81" s="82"/>
      <c r="F81" s="151"/>
      <c r="G81" s="101"/>
      <c r="H81" s="136"/>
    </row>
    <row r="82" spans="1:8" ht="15.75">
      <c r="A82" s="368"/>
      <c r="B82" s="368"/>
      <c r="C82" s="368"/>
      <c r="D82" s="146"/>
      <c r="E82" s="146"/>
      <c r="F82" s="146"/>
      <c r="G82" s="340" t="s">
        <v>371</v>
      </c>
      <c r="H82" s="340"/>
    </row>
    <row r="83" spans="1:8" ht="15" customHeight="1">
      <c r="A83" s="367" t="s">
        <v>429</v>
      </c>
      <c r="B83" s="367"/>
      <c r="C83" s="367"/>
      <c r="D83" s="145"/>
      <c r="E83" s="99"/>
      <c r="F83" s="101"/>
      <c r="G83" s="369" t="s">
        <v>427</v>
      </c>
      <c r="H83" s="369"/>
    </row>
    <row r="84" spans="1:8" ht="15.75">
      <c r="A84" s="367"/>
      <c r="B84" s="367"/>
      <c r="C84" s="367"/>
      <c r="D84" s="340"/>
      <c r="E84" s="340"/>
      <c r="F84" s="340"/>
      <c r="G84" s="340"/>
      <c r="H84" s="340"/>
    </row>
    <row r="85" spans="1:8">
      <c r="H85" s="25"/>
    </row>
    <row r="86" spans="1:8">
      <c r="H86" s="25"/>
    </row>
    <row r="87" spans="1:8">
      <c r="H87" s="25"/>
    </row>
    <row r="88" spans="1:8">
      <c r="H88" s="25"/>
    </row>
    <row r="89" spans="1:8">
      <c r="H89" s="25"/>
    </row>
    <row r="90" spans="1:8">
      <c r="H90" s="25"/>
    </row>
    <row r="91" spans="1:8">
      <c r="H91" s="25"/>
    </row>
    <row r="92" spans="1:8">
      <c r="H92" s="25"/>
    </row>
    <row r="93" spans="1:8">
      <c r="H93" s="25"/>
    </row>
    <row r="94" spans="1:8">
      <c r="H94" s="25"/>
    </row>
    <row r="95" spans="1:8">
      <c r="H95" s="25"/>
    </row>
    <row r="96" spans="1:8">
      <c r="H96" s="25"/>
    </row>
    <row r="97" spans="8:8">
      <c r="H97" s="25"/>
    </row>
    <row r="98" spans="8:8">
      <c r="H98" s="25"/>
    </row>
    <row r="99" spans="8:8">
      <c r="H99" s="25"/>
    </row>
    <row r="100" spans="8:8">
      <c r="H100" s="25"/>
    </row>
    <row r="101" spans="8:8">
      <c r="H101" s="25"/>
    </row>
    <row r="102" spans="8:8">
      <c r="H102" s="25"/>
    </row>
    <row r="103" spans="8:8">
      <c r="H103" s="25"/>
    </row>
    <row r="104" spans="8:8">
      <c r="H104" s="25"/>
    </row>
    <row r="105" spans="8:8">
      <c r="H105" s="25"/>
    </row>
    <row r="106" spans="8:8">
      <c r="H106" s="25"/>
    </row>
    <row r="107" spans="8:8">
      <c r="H107" s="25"/>
    </row>
    <row r="108" spans="8:8">
      <c r="H108" s="25"/>
    </row>
    <row r="109" spans="8:8">
      <c r="H109" s="25"/>
    </row>
    <row r="110" spans="8:8">
      <c r="H110" s="25"/>
    </row>
    <row r="111" spans="8:8">
      <c r="H111" s="25"/>
    </row>
    <row r="112" spans="8:8">
      <c r="H112" s="25"/>
    </row>
    <row r="113" spans="8:8">
      <c r="H113" s="25"/>
    </row>
    <row r="114" spans="8:8">
      <c r="H114" s="25"/>
    </row>
    <row r="115" spans="8:8">
      <c r="H115" s="25"/>
    </row>
    <row r="116" spans="8:8">
      <c r="H116" s="25"/>
    </row>
    <row r="117" spans="8:8">
      <c r="H117" s="25"/>
    </row>
    <row r="118" spans="8:8">
      <c r="H118" s="25"/>
    </row>
    <row r="119" spans="8:8">
      <c r="H119" s="25"/>
    </row>
    <row r="120" spans="8:8">
      <c r="H120" s="25"/>
    </row>
    <row r="121" spans="8:8">
      <c r="H121" s="25"/>
    </row>
    <row r="122" spans="8:8">
      <c r="H122" s="25"/>
    </row>
    <row r="123" spans="8:8">
      <c r="H123" s="25"/>
    </row>
    <row r="124" spans="8:8">
      <c r="H124" s="25"/>
    </row>
    <row r="125" spans="8:8">
      <c r="H125" s="25"/>
    </row>
    <row r="126" spans="8:8">
      <c r="H126" s="25"/>
    </row>
    <row r="127" spans="8:8">
      <c r="H127" s="25"/>
    </row>
    <row r="128" spans="8:8">
      <c r="H128" s="25"/>
    </row>
    <row r="129" spans="8:8">
      <c r="H129" s="25"/>
    </row>
    <row r="130" spans="8:8">
      <c r="H130" s="25"/>
    </row>
    <row r="131" spans="8:8">
      <c r="H131" s="25"/>
    </row>
    <row r="132" spans="8:8">
      <c r="H132" s="25"/>
    </row>
    <row r="133" spans="8:8">
      <c r="H133" s="25"/>
    </row>
    <row r="134" spans="8:8">
      <c r="H134" s="25"/>
    </row>
    <row r="135" spans="8:8">
      <c r="H135" s="25"/>
    </row>
    <row r="136" spans="8:8">
      <c r="H136" s="25"/>
    </row>
    <row r="137" spans="8:8">
      <c r="H137" s="25"/>
    </row>
    <row r="138" spans="8:8">
      <c r="H138" s="25"/>
    </row>
    <row r="139" spans="8:8">
      <c r="H139" s="25"/>
    </row>
    <row r="140" spans="8:8">
      <c r="H140" s="25"/>
    </row>
    <row r="141" spans="8:8">
      <c r="H141" s="25"/>
    </row>
    <row r="142" spans="8:8">
      <c r="H142" s="25"/>
    </row>
    <row r="143" spans="8:8">
      <c r="H143" s="25"/>
    </row>
    <row r="144" spans="8:8">
      <c r="H144" s="25"/>
    </row>
    <row r="145" spans="8:8">
      <c r="H145" s="25"/>
    </row>
    <row r="146" spans="8:8">
      <c r="H146" s="25"/>
    </row>
    <row r="147" spans="8:8">
      <c r="H147" s="25"/>
    </row>
    <row r="148" spans="8:8">
      <c r="H148" s="25"/>
    </row>
    <row r="149" spans="8:8">
      <c r="H149" s="25"/>
    </row>
    <row r="150" spans="8:8">
      <c r="H150" s="25"/>
    </row>
    <row r="151" spans="8:8">
      <c r="H151" s="25"/>
    </row>
    <row r="152" spans="8:8">
      <c r="H152" s="25"/>
    </row>
    <row r="153" spans="8:8">
      <c r="H153" s="25"/>
    </row>
    <row r="154" spans="8:8">
      <c r="H154" s="25"/>
    </row>
    <row r="155" spans="8:8">
      <c r="H155" s="25"/>
    </row>
    <row r="156" spans="8:8">
      <c r="H156" s="25"/>
    </row>
    <row r="157" spans="8:8">
      <c r="H157" s="25"/>
    </row>
    <row r="158" spans="8:8">
      <c r="H158" s="25"/>
    </row>
    <row r="159" spans="8:8">
      <c r="H159" s="25"/>
    </row>
    <row r="160" spans="8:8">
      <c r="H160" s="25"/>
    </row>
    <row r="161" spans="8:8">
      <c r="H161" s="25"/>
    </row>
    <row r="162" spans="8:8">
      <c r="H162" s="25"/>
    </row>
    <row r="163" spans="8:8">
      <c r="H163" s="25"/>
    </row>
    <row r="164" spans="8:8">
      <c r="H164" s="25"/>
    </row>
    <row r="165" spans="8:8">
      <c r="H165" s="25"/>
    </row>
    <row r="166" spans="8:8">
      <c r="H166" s="25"/>
    </row>
    <row r="167" spans="8:8">
      <c r="H167" s="25"/>
    </row>
    <row r="168" spans="8:8">
      <c r="H168" s="25"/>
    </row>
    <row r="169" spans="8:8">
      <c r="H169" s="25"/>
    </row>
    <row r="170" spans="8:8">
      <c r="H170" s="25"/>
    </row>
    <row r="171" spans="8:8">
      <c r="H171" s="25"/>
    </row>
    <row r="172" spans="8:8">
      <c r="H172" s="25"/>
    </row>
    <row r="173" spans="8:8">
      <c r="H173" s="25"/>
    </row>
    <row r="174" spans="8:8">
      <c r="H174" s="25"/>
    </row>
    <row r="175" spans="8:8">
      <c r="H175" s="25"/>
    </row>
    <row r="176" spans="8:8">
      <c r="H176" s="25"/>
    </row>
    <row r="177" spans="8:8">
      <c r="H177" s="25"/>
    </row>
    <row r="178" spans="8:8">
      <c r="H178" s="25"/>
    </row>
    <row r="179" spans="8:8">
      <c r="H179" s="25"/>
    </row>
    <row r="180" spans="8:8">
      <c r="H180" s="25"/>
    </row>
    <row r="181" spans="8:8">
      <c r="H181" s="25"/>
    </row>
    <row r="182" spans="8:8">
      <c r="H182" s="25"/>
    </row>
    <row r="183" spans="8:8">
      <c r="H183" s="25"/>
    </row>
    <row r="184" spans="8:8">
      <c r="H184" s="25"/>
    </row>
    <row r="185" spans="8:8">
      <c r="H185" s="25"/>
    </row>
    <row r="186" spans="8:8">
      <c r="H186" s="25"/>
    </row>
    <row r="187" spans="8:8">
      <c r="H187" s="25"/>
    </row>
    <row r="188" spans="8:8">
      <c r="H188" s="25"/>
    </row>
    <row r="189" spans="8:8">
      <c r="H189" s="25"/>
    </row>
    <row r="190" spans="8:8">
      <c r="H190" s="25"/>
    </row>
    <row r="191" spans="8:8">
      <c r="H191" s="25"/>
    </row>
    <row r="192" spans="8:8">
      <c r="H192" s="25"/>
    </row>
    <row r="193" spans="8:8">
      <c r="H193" s="25"/>
    </row>
    <row r="194" spans="8:8">
      <c r="H194" s="25"/>
    </row>
    <row r="195" spans="8:8">
      <c r="H195" s="25"/>
    </row>
    <row r="196" spans="8:8">
      <c r="H196" s="25"/>
    </row>
    <row r="197" spans="8:8">
      <c r="H197" s="25"/>
    </row>
    <row r="198" spans="8:8">
      <c r="H198" s="25"/>
    </row>
    <row r="199" spans="8:8">
      <c r="H199" s="25"/>
    </row>
    <row r="200" spans="8:8">
      <c r="H200" s="25"/>
    </row>
    <row r="201" spans="8:8">
      <c r="H201" s="25"/>
    </row>
    <row r="202" spans="8:8">
      <c r="H202" s="25"/>
    </row>
    <row r="203" spans="8:8">
      <c r="H203" s="25"/>
    </row>
    <row r="204" spans="8:8">
      <c r="H204" s="25"/>
    </row>
    <row r="205" spans="8:8">
      <c r="H205" s="25"/>
    </row>
    <row r="206" spans="8:8">
      <c r="H206" s="25"/>
    </row>
    <row r="207" spans="8:8">
      <c r="H207" s="25"/>
    </row>
    <row r="208" spans="8:8">
      <c r="H208" s="25"/>
    </row>
    <row r="209" spans="8:8">
      <c r="H209" s="25"/>
    </row>
    <row r="210" spans="8:8">
      <c r="H210" s="25"/>
    </row>
    <row r="211" spans="8:8">
      <c r="H211" s="25"/>
    </row>
    <row r="212" spans="8:8">
      <c r="H212" s="25"/>
    </row>
    <row r="213" spans="8:8">
      <c r="H213" s="25"/>
    </row>
    <row r="214" spans="8:8">
      <c r="H214" s="25"/>
    </row>
    <row r="215" spans="8:8">
      <c r="H215" s="25"/>
    </row>
    <row r="216" spans="8:8">
      <c r="H216" s="25"/>
    </row>
    <row r="217" spans="8:8">
      <c r="H217" s="25"/>
    </row>
    <row r="218" spans="8:8">
      <c r="H218" s="25"/>
    </row>
    <row r="219" spans="8:8">
      <c r="H219" s="25"/>
    </row>
    <row r="220" spans="8:8">
      <c r="H220" s="25"/>
    </row>
    <row r="221" spans="8:8">
      <c r="H221" s="25"/>
    </row>
    <row r="222" spans="8:8">
      <c r="H222" s="25"/>
    </row>
    <row r="223" spans="8:8">
      <c r="H223" s="25"/>
    </row>
    <row r="224" spans="8:8">
      <c r="H224" s="25"/>
    </row>
    <row r="225" spans="8:8">
      <c r="H225" s="25"/>
    </row>
    <row r="226" spans="8:8">
      <c r="H226" s="25"/>
    </row>
    <row r="227" spans="8:8">
      <c r="H227" s="25"/>
    </row>
    <row r="228" spans="8:8">
      <c r="H228" s="25"/>
    </row>
    <row r="229" spans="8:8">
      <c r="H229" s="25"/>
    </row>
    <row r="230" spans="8:8">
      <c r="H230" s="25"/>
    </row>
    <row r="231" spans="8:8">
      <c r="H231" s="25"/>
    </row>
    <row r="232" spans="8:8">
      <c r="H232" s="25"/>
    </row>
    <row r="233" spans="8:8">
      <c r="H233" s="25"/>
    </row>
    <row r="234" spans="8:8">
      <c r="H234" s="25"/>
    </row>
    <row r="235" spans="8:8">
      <c r="H235" s="25"/>
    </row>
    <row r="236" spans="8:8">
      <c r="H236" s="25"/>
    </row>
    <row r="237" spans="8:8">
      <c r="H237" s="25"/>
    </row>
    <row r="238" spans="8:8">
      <c r="H238" s="25"/>
    </row>
    <row r="239" spans="8:8">
      <c r="H239" s="25"/>
    </row>
    <row r="240" spans="8:8">
      <c r="H240" s="25"/>
    </row>
    <row r="241" spans="8:8">
      <c r="H241" s="25"/>
    </row>
    <row r="242" spans="8:8">
      <c r="H242" s="25"/>
    </row>
    <row r="243" spans="8:8">
      <c r="H243" s="25"/>
    </row>
    <row r="244" spans="8:8">
      <c r="H244" s="25"/>
    </row>
  </sheetData>
  <mergeCells count="24">
    <mergeCell ref="A83:C83"/>
    <mergeCell ref="F11:F13"/>
    <mergeCell ref="B12:B13"/>
    <mergeCell ref="A84:C84"/>
    <mergeCell ref="D84:H84"/>
    <mergeCell ref="A82:C82"/>
    <mergeCell ref="G83:H83"/>
    <mergeCell ref="H11:H13"/>
    <mergeCell ref="A1:H1"/>
    <mergeCell ref="G82:H82"/>
    <mergeCell ref="A2:H2"/>
    <mergeCell ref="A3:H3"/>
    <mergeCell ref="A4:H4"/>
    <mergeCell ref="A5:H5"/>
    <mergeCell ref="A8:G8"/>
    <mergeCell ref="A7:G7"/>
    <mergeCell ref="E6:H6"/>
    <mergeCell ref="E12:E13"/>
    <mergeCell ref="G10:H10"/>
    <mergeCell ref="G11:G13"/>
    <mergeCell ref="D12:D13"/>
    <mergeCell ref="C12:C13"/>
    <mergeCell ref="A11:A13"/>
    <mergeCell ref="B11:E11"/>
  </mergeCells>
  <pageMargins left="0.70866141732283472" right="0.70866141732283472" top="0.36" bottom="0.32" header="0.31496062992125984" footer="0.31496062992125984"/>
  <pageSetup paperSize="9" scale="8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K531"/>
  <sheetViews>
    <sheetView showWhiteSpace="0" topLeftCell="A10" workbookViewId="0">
      <selection activeCell="J315" sqref="J315"/>
    </sheetView>
  </sheetViews>
  <sheetFormatPr defaultRowHeight="12.75"/>
  <cols>
    <col min="1" max="1" width="38.42578125" style="126" customWidth="1"/>
    <col min="2" max="2" width="6.28515625" style="103" customWidth="1"/>
    <col min="3" max="3" width="6" style="103" customWidth="1"/>
    <col min="4" max="4" width="4.85546875" style="103" customWidth="1"/>
    <col min="5" max="5" width="9.28515625" style="103" customWidth="1"/>
    <col min="6" max="6" width="7" style="103" customWidth="1"/>
    <col min="7" max="7" width="12.7109375" style="128" customWidth="1"/>
    <col min="8" max="8" width="13.140625" style="126" customWidth="1"/>
    <col min="9" max="9" width="18.5703125" style="9" customWidth="1"/>
    <col min="10" max="10" width="16.28515625" style="9" customWidth="1"/>
    <col min="11" max="11" width="14.140625" style="9" customWidth="1"/>
    <col min="12" max="16384" width="9.140625" style="9"/>
  </cols>
  <sheetData>
    <row r="1" spans="1:9" ht="15.75">
      <c r="A1" s="340" t="s">
        <v>410</v>
      </c>
      <c r="B1" s="345"/>
      <c r="C1" s="345"/>
      <c r="D1" s="345"/>
      <c r="E1" s="345"/>
      <c r="F1" s="345"/>
      <c r="G1" s="345"/>
      <c r="H1" s="345"/>
    </row>
    <row r="2" spans="1:9" ht="15.75">
      <c r="A2" s="340" t="s">
        <v>454</v>
      </c>
      <c r="B2" s="340"/>
      <c r="C2" s="340"/>
      <c r="D2" s="340"/>
      <c r="E2" s="340"/>
      <c r="F2" s="340"/>
      <c r="G2" s="340"/>
      <c r="H2" s="340"/>
    </row>
    <row r="3" spans="1:9" ht="15.75">
      <c r="A3" s="340" t="s">
        <v>455</v>
      </c>
      <c r="B3" s="340"/>
      <c r="C3" s="340"/>
      <c r="D3" s="340"/>
      <c r="E3" s="340"/>
      <c r="F3" s="340"/>
      <c r="G3" s="340"/>
      <c r="H3" s="340"/>
    </row>
    <row r="4" spans="1:9" ht="15.75">
      <c r="A4" s="343" t="s">
        <v>456</v>
      </c>
      <c r="B4" s="343"/>
      <c r="C4" s="343"/>
      <c r="D4" s="343"/>
      <c r="E4" s="343"/>
      <c r="F4" s="343"/>
      <c r="G4" s="343"/>
      <c r="H4" s="343"/>
    </row>
    <row r="5" spans="1:9" ht="15.75">
      <c r="A5" s="340" t="s">
        <v>446</v>
      </c>
      <c r="B5" s="340"/>
      <c r="C5" s="340"/>
      <c r="D5" s="340"/>
      <c r="E5" s="340"/>
      <c r="F5" s="340"/>
      <c r="G5" s="340"/>
      <c r="H5" s="340"/>
    </row>
    <row r="6" spans="1:9" ht="29.25" customHeight="1">
      <c r="A6" s="373" t="s">
        <v>405</v>
      </c>
      <c r="B6" s="373"/>
      <c r="C6" s="373"/>
      <c r="D6" s="373"/>
      <c r="E6" s="373"/>
      <c r="F6" s="373"/>
      <c r="G6" s="373"/>
    </row>
    <row r="7" spans="1:9">
      <c r="A7" s="107"/>
      <c r="B7" s="158"/>
      <c r="C7" s="158"/>
      <c r="D7" s="158"/>
      <c r="E7" s="158"/>
      <c r="F7" s="158"/>
      <c r="G7" s="106"/>
    </row>
    <row r="8" spans="1:9">
      <c r="A8" s="158"/>
      <c r="B8" s="158"/>
      <c r="C8" s="158"/>
      <c r="D8" s="158"/>
      <c r="E8" s="158"/>
      <c r="F8" s="158"/>
      <c r="G8" s="376" t="s">
        <v>105</v>
      </c>
      <c r="H8" s="376"/>
    </row>
    <row r="9" spans="1:9">
      <c r="A9" s="361" t="s">
        <v>2</v>
      </c>
      <c r="B9" s="152"/>
      <c r="C9" s="364" t="s">
        <v>3</v>
      </c>
      <c r="D9" s="384"/>
      <c r="E9" s="384"/>
      <c r="F9" s="385"/>
      <c r="G9" s="381" t="s">
        <v>333</v>
      </c>
      <c r="H9" s="370" t="s">
        <v>406</v>
      </c>
    </row>
    <row r="10" spans="1:9">
      <c r="A10" s="374"/>
      <c r="B10" s="361" t="s">
        <v>106</v>
      </c>
      <c r="C10" s="370" t="s">
        <v>5</v>
      </c>
      <c r="D10" s="359" t="s">
        <v>6</v>
      </c>
      <c r="E10" s="359" t="s">
        <v>107</v>
      </c>
      <c r="F10" s="359" t="s">
        <v>8</v>
      </c>
      <c r="G10" s="374"/>
      <c r="H10" s="374"/>
    </row>
    <row r="11" spans="1:9">
      <c r="A11" s="375"/>
      <c r="B11" s="375"/>
      <c r="C11" s="375"/>
      <c r="D11" s="375"/>
      <c r="E11" s="375"/>
      <c r="F11" s="375"/>
      <c r="G11" s="375"/>
      <c r="H11" s="375"/>
    </row>
    <row r="12" spans="1:9" s="13" customFormat="1">
      <c r="A12" s="153">
        <v>1</v>
      </c>
      <c r="B12" s="153">
        <v>2</v>
      </c>
      <c r="C12" s="154">
        <v>3</v>
      </c>
      <c r="D12" s="154">
        <v>4</v>
      </c>
      <c r="E12" s="154">
        <v>5</v>
      </c>
      <c r="F12" s="154">
        <v>6</v>
      </c>
      <c r="G12" s="83">
        <v>7</v>
      </c>
      <c r="H12" s="154">
        <v>8</v>
      </c>
    </row>
    <row r="13" spans="1:9" ht="25.5">
      <c r="A13" s="76" t="s">
        <v>108</v>
      </c>
      <c r="B13" s="108">
        <v>803</v>
      </c>
      <c r="C13" s="87"/>
      <c r="D13" s="87"/>
      <c r="E13" s="87"/>
      <c r="F13" s="87"/>
      <c r="G13" s="85" t="e">
        <f>G14+G28+G35+G53+G84+G94-159367.5</f>
        <v>#REF!</v>
      </c>
      <c r="H13" s="85" t="e">
        <f>H14+H28+H35+H53+H84+H94-126485.1</f>
        <v>#REF!</v>
      </c>
      <c r="I13" s="22" t="s">
        <v>371</v>
      </c>
    </row>
    <row r="14" spans="1:9" ht="18" customHeight="1">
      <c r="A14" s="48" t="s">
        <v>9</v>
      </c>
      <c r="B14" s="153"/>
      <c r="C14" s="43" t="s">
        <v>10</v>
      </c>
      <c r="D14" s="154"/>
      <c r="E14" s="154"/>
      <c r="F14" s="154"/>
      <c r="G14" s="84" t="e">
        <f>G15+G26</f>
        <v>#REF!</v>
      </c>
      <c r="H14" s="84" t="e">
        <f>H15+H26</f>
        <v>#REF!</v>
      </c>
      <c r="I14" s="22" t="s">
        <v>371</v>
      </c>
    </row>
    <row r="15" spans="1:9" ht="63.75">
      <c r="A15" s="78" t="s">
        <v>18</v>
      </c>
      <c r="B15" s="153"/>
      <c r="C15" s="43" t="s">
        <v>10</v>
      </c>
      <c r="D15" s="43" t="s">
        <v>19</v>
      </c>
      <c r="E15" s="43"/>
      <c r="F15" s="43"/>
      <c r="G15" s="84" t="e">
        <f>G16+G26</f>
        <v>#REF!</v>
      </c>
      <c r="H15" s="84" t="e">
        <f>H16</f>
        <v>#REF!</v>
      </c>
    </row>
    <row r="16" spans="1:9" ht="63.75">
      <c r="A16" s="78" t="s">
        <v>109</v>
      </c>
      <c r="B16" s="153"/>
      <c r="C16" s="43" t="s">
        <v>10</v>
      </c>
      <c r="D16" s="43" t="s">
        <v>19</v>
      </c>
      <c r="E16" s="43" t="s">
        <v>14</v>
      </c>
      <c r="F16" s="43"/>
      <c r="G16" s="84" t="e">
        <f>G17+G24</f>
        <v>#REF!</v>
      </c>
      <c r="H16" s="84" t="e">
        <f>H17+H24</f>
        <v>#REF!</v>
      </c>
      <c r="I16" s="22" t="s">
        <v>371</v>
      </c>
    </row>
    <row r="17" spans="1:8" ht="16.5" customHeight="1">
      <c r="A17" s="78" t="s">
        <v>15</v>
      </c>
      <c r="B17" s="153"/>
      <c r="C17" s="43" t="s">
        <v>10</v>
      </c>
      <c r="D17" s="43" t="s">
        <v>19</v>
      </c>
      <c r="E17" s="43" t="s">
        <v>16</v>
      </c>
      <c r="F17" s="43"/>
      <c r="G17" s="84" t="e">
        <f>G18</f>
        <v>#REF!</v>
      </c>
      <c r="H17" s="84" t="e">
        <f>H18</f>
        <v>#REF!</v>
      </c>
    </row>
    <row r="18" spans="1:8" ht="20.25" customHeight="1">
      <c r="A18" s="78" t="s">
        <v>15</v>
      </c>
      <c r="B18" s="153"/>
      <c r="C18" s="43" t="s">
        <v>10</v>
      </c>
      <c r="D18" s="43" t="s">
        <v>19</v>
      </c>
      <c r="E18" s="43" t="s">
        <v>17</v>
      </c>
      <c r="F18" s="43"/>
      <c r="G18" s="84" t="e">
        <f>G19+G20+G21+G22+G23</f>
        <v>#REF!</v>
      </c>
      <c r="H18" s="84" t="e">
        <f>H19+H20+H21+H22+H23</f>
        <v>#REF!</v>
      </c>
    </row>
    <row r="19" spans="1:8" ht="25.5">
      <c r="A19" s="78" t="s">
        <v>169</v>
      </c>
      <c r="B19" s="153"/>
      <c r="C19" s="43" t="s">
        <v>10</v>
      </c>
      <c r="D19" s="43" t="s">
        <v>19</v>
      </c>
      <c r="E19" s="43" t="s">
        <v>17</v>
      </c>
      <c r="F19" s="43" t="s">
        <v>167</v>
      </c>
      <c r="G19" s="84">
        <f>прил.4!H27*105.5%</f>
        <v>116635.84149999999</v>
      </c>
      <c r="H19" s="44">
        <f>G19*105.5%</f>
        <v>123050.81278249998</v>
      </c>
    </row>
    <row r="20" spans="1:8" ht="25.5">
      <c r="A20" s="78" t="s">
        <v>221</v>
      </c>
      <c r="B20" s="153"/>
      <c r="C20" s="43" t="s">
        <v>10</v>
      </c>
      <c r="D20" s="43" t="s">
        <v>19</v>
      </c>
      <c r="E20" s="43" t="s">
        <v>324</v>
      </c>
      <c r="F20" s="43" t="s">
        <v>203</v>
      </c>
      <c r="G20" s="84" t="e">
        <f>прил.4!#REF!*105.5%</f>
        <v>#REF!</v>
      </c>
      <c r="H20" s="44" t="e">
        <f>G20*105%</f>
        <v>#REF!</v>
      </c>
    </row>
    <row r="21" spans="1:8" ht="36.75" customHeight="1">
      <c r="A21" s="78" t="s">
        <v>207</v>
      </c>
      <c r="B21" s="153"/>
      <c r="C21" s="43" t="s">
        <v>10</v>
      </c>
      <c r="D21" s="43" t="s">
        <v>19</v>
      </c>
      <c r="E21" s="43" t="s">
        <v>324</v>
      </c>
      <c r="F21" s="43" t="s">
        <v>168</v>
      </c>
      <c r="G21" s="84">
        <v>62614.8</v>
      </c>
      <c r="H21" s="44">
        <f>G21*105%</f>
        <v>65745.540000000008</v>
      </c>
    </row>
    <row r="22" spans="1:8" ht="36.75" customHeight="1">
      <c r="A22" s="78" t="s">
        <v>264</v>
      </c>
      <c r="B22" s="153"/>
      <c r="C22" s="43" t="s">
        <v>10</v>
      </c>
      <c r="D22" s="43" t="s">
        <v>19</v>
      </c>
      <c r="E22" s="43" t="s">
        <v>324</v>
      </c>
      <c r="F22" s="43" t="s">
        <v>189</v>
      </c>
      <c r="G22" s="84">
        <f>прил.4!H29*105.5%</f>
        <v>1688</v>
      </c>
      <c r="H22" s="44">
        <f>G22*105%</f>
        <v>1772.4</v>
      </c>
    </row>
    <row r="23" spans="1:8" ht="36.75" customHeight="1">
      <c r="A23" s="78" t="s">
        <v>206</v>
      </c>
      <c r="B23" s="153"/>
      <c r="C23" s="43" t="s">
        <v>10</v>
      </c>
      <c r="D23" s="43" t="s">
        <v>19</v>
      </c>
      <c r="E23" s="43" t="s">
        <v>324</v>
      </c>
      <c r="F23" s="43" t="s">
        <v>192</v>
      </c>
      <c r="G23" s="84" t="e">
        <f>прил.4!#REF!*105.5%</f>
        <v>#REF!</v>
      </c>
      <c r="H23" s="44" t="e">
        <f>G23*105%</f>
        <v>#REF!</v>
      </c>
    </row>
    <row r="24" spans="1:8" ht="38.25">
      <c r="A24" s="78" t="s">
        <v>20</v>
      </c>
      <c r="B24" s="153"/>
      <c r="C24" s="43" t="s">
        <v>10</v>
      </c>
      <c r="D24" s="43" t="s">
        <v>19</v>
      </c>
      <c r="E24" s="43" t="s">
        <v>21</v>
      </c>
      <c r="F24" s="43"/>
      <c r="G24" s="84">
        <f>G25</f>
        <v>8361.8244999999988</v>
      </c>
      <c r="H24" s="44">
        <f>H25</f>
        <v>8821.7248474999978</v>
      </c>
    </row>
    <row r="25" spans="1:8" ht="21" customHeight="1">
      <c r="A25" s="78" t="s">
        <v>169</v>
      </c>
      <c r="B25" s="153"/>
      <c r="C25" s="43" t="s">
        <v>10</v>
      </c>
      <c r="D25" s="43" t="s">
        <v>19</v>
      </c>
      <c r="E25" s="43" t="s">
        <v>21</v>
      </c>
      <c r="F25" s="43" t="s">
        <v>167</v>
      </c>
      <c r="G25" s="84">
        <f>прил.4!H25*105.5%</f>
        <v>8361.8244999999988</v>
      </c>
      <c r="H25" s="44">
        <f>G25*105.5%</f>
        <v>8821.7248474999978</v>
      </c>
    </row>
    <row r="26" spans="1:8" ht="47.25" customHeight="1">
      <c r="A26" s="109" t="s">
        <v>441</v>
      </c>
      <c r="B26" s="108"/>
      <c r="C26" s="79" t="s">
        <v>10</v>
      </c>
      <c r="D26" s="43" t="s">
        <v>154</v>
      </c>
      <c r="E26" s="43"/>
      <c r="F26" s="43"/>
      <c r="G26" s="84">
        <f>G27</f>
        <v>50</v>
      </c>
      <c r="H26" s="44">
        <f>H27</f>
        <v>50</v>
      </c>
    </row>
    <row r="27" spans="1:8" ht="36" customHeight="1">
      <c r="A27" s="78" t="s">
        <v>207</v>
      </c>
      <c r="B27" s="108"/>
      <c r="C27" s="79" t="s">
        <v>10</v>
      </c>
      <c r="D27" s="43" t="s">
        <v>154</v>
      </c>
      <c r="E27" s="43" t="s">
        <v>296</v>
      </c>
      <c r="F27" s="43" t="s">
        <v>168</v>
      </c>
      <c r="G27" s="84">
        <v>50</v>
      </c>
      <c r="H27" s="44">
        <v>50</v>
      </c>
    </row>
    <row r="28" spans="1:8" ht="32.25" customHeight="1">
      <c r="A28" s="78" t="s">
        <v>32</v>
      </c>
      <c r="B28" s="153"/>
      <c r="C28" s="43" t="s">
        <v>12</v>
      </c>
      <c r="D28" s="43"/>
      <c r="E28" s="43"/>
      <c r="F28" s="43"/>
      <c r="G28" s="84" t="e">
        <f>G29</f>
        <v>#REF!</v>
      </c>
      <c r="H28" s="44" t="e">
        <f>G28*105%</f>
        <v>#REF!</v>
      </c>
    </row>
    <row r="29" spans="1:8" ht="42" customHeight="1">
      <c r="A29" s="78" t="s">
        <v>112</v>
      </c>
      <c r="B29" s="153"/>
      <c r="C29" s="43" t="s">
        <v>12</v>
      </c>
      <c r="D29" s="43" t="s">
        <v>33</v>
      </c>
      <c r="E29" s="43" t="s">
        <v>37</v>
      </c>
      <c r="F29" s="43"/>
      <c r="G29" s="84" t="e">
        <f>G30</f>
        <v>#REF!</v>
      </c>
      <c r="H29" s="44" t="e">
        <f>G29*105%</f>
        <v>#REF!</v>
      </c>
    </row>
    <row r="30" spans="1:8" ht="38.25">
      <c r="A30" s="78" t="s">
        <v>112</v>
      </c>
      <c r="B30" s="153"/>
      <c r="C30" s="43" t="s">
        <v>12</v>
      </c>
      <c r="D30" s="43" t="s">
        <v>33</v>
      </c>
      <c r="E30" s="43" t="s">
        <v>37</v>
      </c>
      <c r="F30" s="43"/>
      <c r="G30" s="84" t="e">
        <f>G31+G32+G33+G34</f>
        <v>#REF!</v>
      </c>
      <c r="H30" s="84" t="e">
        <f>H31+H32+H33+H34</f>
        <v>#REF!</v>
      </c>
    </row>
    <row r="31" spans="1:8" ht="25.5">
      <c r="A31" s="78" t="s">
        <v>169</v>
      </c>
      <c r="B31" s="153"/>
      <c r="C31" s="43" t="s">
        <v>12</v>
      </c>
      <c r="D31" s="43" t="s">
        <v>33</v>
      </c>
      <c r="E31" s="43" t="s">
        <v>37</v>
      </c>
      <c r="F31" s="43" t="s">
        <v>171</v>
      </c>
      <c r="G31" s="84">
        <f>прил.4!H57*105.5%</f>
        <v>17779.071</v>
      </c>
      <c r="H31" s="44">
        <f>G31*105%</f>
        <v>18668.024550000002</v>
      </c>
    </row>
    <row r="32" spans="1:8" ht="38.25">
      <c r="A32" s="78" t="s">
        <v>170</v>
      </c>
      <c r="B32" s="153"/>
      <c r="C32" s="43" t="s">
        <v>12</v>
      </c>
      <c r="D32" s="43" t="s">
        <v>33</v>
      </c>
      <c r="E32" s="43" t="s">
        <v>37</v>
      </c>
      <c r="F32" s="43" t="s">
        <v>168</v>
      </c>
      <c r="G32" s="84">
        <f>прил.4!H58*105.5%</f>
        <v>2780.2415000000001</v>
      </c>
      <c r="H32" s="44">
        <f>G32*105%</f>
        <v>2919.2535750000002</v>
      </c>
    </row>
    <row r="33" spans="1:11" ht="25.5">
      <c r="A33" s="78" t="s">
        <v>264</v>
      </c>
      <c r="B33" s="153"/>
      <c r="C33" s="43" t="s">
        <v>12</v>
      </c>
      <c r="D33" s="43" t="s">
        <v>33</v>
      </c>
      <c r="E33" s="43" t="s">
        <v>37</v>
      </c>
      <c r="F33" s="43" t="s">
        <v>189</v>
      </c>
      <c r="G33" s="84" t="e">
        <f>прил.4!#REF!*105.5%</f>
        <v>#REF!</v>
      </c>
      <c r="H33" s="44" t="e">
        <f>G33*105%</f>
        <v>#REF!</v>
      </c>
    </row>
    <row r="34" spans="1:11" ht="25.5">
      <c r="A34" s="78" t="s">
        <v>206</v>
      </c>
      <c r="B34" s="153"/>
      <c r="C34" s="43" t="s">
        <v>12</v>
      </c>
      <c r="D34" s="43" t="s">
        <v>33</v>
      </c>
      <c r="E34" s="43" t="s">
        <v>37</v>
      </c>
      <c r="F34" s="43" t="s">
        <v>192</v>
      </c>
      <c r="G34" s="84">
        <f>прил.4!H59*105.5%</f>
        <v>34.287500000000001</v>
      </c>
      <c r="H34" s="44">
        <f>G34*105%</f>
        <v>36.001875000000005</v>
      </c>
    </row>
    <row r="35" spans="1:11" ht="18" customHeight="1">
      <c r="A35" s="78" t="s">
        <v>39</v>
      </c>
      <c r="B35" s="153"/>
      <c r="C35" s="43" t="s">
        <v>19</v>
      </c>
      <c r="D35" s="43"/>
      <c r="E35" s="43"/>
      <c r="F35" s="43"/>
      <c r="G35" s="84" t="e">
        <f>G36+G41+G49</f>
        <v>#REF!</v>
      </c>
      <c r="H35" s="84" t="e">
        <f>H36+H41+H49</f>
        <v>#REF!</v>
      </c>
      <c r="I35" s="22" t="s">
        <v>371</v>
      </c>
    </row>
    <row r="36" spans="1:11" ht="15.75" customHeight="1">
      <c r="A36" s="48" t="s">
        <v>141</v>
      </c>
      <c r="B36" s="153"/>
      <c r="C36" s="43" t="s">
        <v>19</v>
      </c>
      <c r="D36" s="43" t="s">
        <v>81</v>
      </c>
      <c r="E36" s="43"/>
      <c r="F36" s="43"/>
      <c r="G36" s="44" t="e">
        <f>G37</f>
        <v>#REF!</v>
      </c>
      <c r="H36" s="44" t="e">
        <f>H37</f>
        <v>#REF!</v>
      </c>
    </row>
    <row r="37" spans="1:11" s="47" customFormat="1" ht="31.5" customHeight="1">
      <c r="A37" s="48" t="s">
        <v>396</v>
      </c>
      <c r="B37" s="153"/>
      <c r="C37" s="43" t="s">
        <v>19</v>
      </c>
      <c r="D37" s="43" t="s">
        <v>81</v>
      </c>
      <c r="E37" s="43" t="s">
        <v>398</v>
      </c>
      <c r="F37" s="43"/>
      <c r="G37" s="44" t="e">
        <f>G38+G39+G40</f>
        <v>#REF!</v>
      </c>
      <c r="H37" s="44" t="e">
        <f>H38+H39+H40</f>
        <v>#REF!</v>
      </c>
      <c r="I37" s="111"/>
      <c r="J37" s="111"/>
      <c r="K37" s="111"/>
    </row>
    <row r="38" spans="1:11" ht="25.5" customHeight="1">
      <c r="A38" s="78" t="s">
        <v>169</v>
      </c>
      <c r="B38" s="153"/>
      <c r="C38" s="43" t="s">
        <v>19</v>
      </c>
      <c r="D38" s="43" t="s">
        <v>81</v>
      </c>
      <c r="E38" s="43" t="s">
        <v>398</v>
      </c>
      <c r="F38" s="43" t="s">
        <v>171</v>
      </c>
      <c r="G38" s="84" t="e">
        <f>прил.4!#REF!*105.5%</f>
        <v>#REF!</v>
      </c>
      <c r="H38" s="84">
        <f>4039*105.5%</f>
        <v>4261.1449999999995</v>
      </c>
    </row>
    <row r="39" spans="1:11" ht="27.75" customHeight="1">
      <c r="A39" s="78" t="s">
        <v>170</v>
      </c>
      <c r="B39" s="153"/>
      <c r="C39" s="43" t="s">
        <v>19</v>
      </c>
      <c r="D39" s="43" t="s">
        <v>81</v>
      </c>
      <c r="E39" s="43" t="s">
        <v>398</v>
      </c>
      <c r="F39" s="43" t="s">
        <v>168</v>
      </c>
      <c r="G39" s="84" t="e">
        <f>прил.4!#REF!*105.5%</f>
        <v>#REF!</v>
      </c>
      <c r="H39" s="44" t="e">
        <f>G39*105.5%</f>
        <v>#REF!</v>
      </c>
    </row>
    <row r="40" spans="1:11" ht="25.5" customHeight="1">
      <c r="A40" s="78" t="s">
        <v>264</v>
      </c>
      <c r="B40" s="153"/>
      <c r="C40" s="43" t="s">
        <v>19</v>
      </c>
      <c r="D40" s="43" t="s">
        <v>81</v>
      </c>
      <c r="E40" s="43" t="s">
        <v>398</v>
      </c>
      <c r="F40" s="43" t="s">
        <v>189</v>
      </c>
      <c r="G40" s="84" t="e">
        <f>прил.4!#REF!*105.5%</f>
        <v>#REF!</v>
      </c>
      <c r="H40" s="44" t="e">
        <f>G40*105.5%</f>
        <v>#REF!</v>
      </c>
    </row>
    <row r="41" spans="1:11" ht="20.25" customHeight="1">
      <c r="A41" s="48" t="s">
        <v>155</v>
      </c>
      <c r="B41" s="153"/>
      <c r="C41" s="43" t="s">
        <v>19</v>
      </c>
      <c r="D41" s="43" t="s">
        <v>33</v>
      </c>
      <c r="E41" s="43"/>
      <c r="F41" s="43"/>
      <c r="G41" s="44" t="e">
        <f>G42+G46</f>
        <v>#REF!</v>
      </c>
      <c r="H41" s="44" t="e">
        <f>H42+H46</f>
        <v>#REF!</v>
      </c>
    </row>
    <row r="42" spans="1:11" ht="19.5" customHeight="1">
      <c r="A42" s="48" t="s">
        <v>130</v>
      </c>
      <c r="B42" s="153"/>
      <c r="C42" s="43" t="s">
        <v>19</v>
      </c>
      <c r="D42" s="43" t="s">
        <v>33</v>
      </c>
      <c r="E42" s="43" t="s">
        <v>148</v>
      </c>
      <c r="F42" s="43"/>
      <c r="G42" s="44">
        <f>G43</f>
        <v>342579.89999999997</v>
      </c>
      <c r="H42" s="44">
        <f>G42*105%</f>
        <v>359708.89499999996</v>
      </c>
    </row>
    <row r="43" spans="1:11" ht="17.25" customHeight="1">
      <c r="A43" s="48" t="s">
        <v>157</v>
      </c>
      <c r="B43" s="153"/>
      <c r="C43" s="43" t="s">
        <v>19</v>
      </c>
      <c r="D43" s="43" t="s">
        <v>33</v>
      </c>
      <c r="E43" s="43" t="s">
        <v>156</v>
      </c>
      <c r="F43" s="43"/>
      <c r="G43" s="44">
        <f>G44</f>
        <v>342579.89999999997</v>
      </c>
      <c r="H43" s="44">
        <f>G43*105%</f>
        <v>359708.89499999996</v>
      </c>
    </row>
    <row r="44" spans="1:11" ht="27.75" customHeight="1">
      <c r="A44" s="48" t="s">
        <v>174</v>
      </c>
      <c r="B44" s="153"/>
      <c r="C44" s="43" t="s">
        <v>19</v>
      </c>
      <c r="D44" s="43" t="s">
        <v>33</v>
      </c>
      <c r="E44" s="43" t="s">
        <v>173</v>
      </c>
      <c r="F44" s="43"/>
      <c r="G44" s="44">
        <f>G45</f>
        <v>342579.89999999997</v>
      </c>
      <c r="H44" s="44">
        <f>G44*105%</f>
        <v>359708.89499999996</v>
      </c>
    </row>
    <row r="45" spans="1:11" ht="42.75" customHeight="1">
      <c r="A45" s="78" t="s">
        <v>170</v>
      </c>
      <c r="B45" s="153"/>
      <c r="C45" s="43" t="s">
        <v>19</v>
      </c>
      <c r="D45" s="43" t="s">
        <v>33</v>
      </c>
      <c r="E45" s="43" t="s">
        <v>301</v>
      </c>
      <c r="F45" s="43" t="s">
        <v>168</v>
      </c>
      <c r="G45" s="84">
        <f>прил.4!H140</f>
        <v>342579.89999999997</v>
      </c>
      <c r="H45" s="44">
        <f>G45*105.5%</f>
        <v>361421.79449999996</v>
      </c>
    </row>
    <row r="46" spans="1:11" ht="33" customHeight="1">
      <c r="A46" s="78" t="s">
        <v>29</v>
      </c>
      <c r="B46" s="153"/>
      <c r="C46" s="43" t="s">
        <v>19</v>
      </c>
      <c r="D46" s="43" t="s">
        <v>33</v>
      </c>
      <c r="E46" s="43" t="s">
        <v>301</v>
      </c>
      <c r="F46" s="43"/>
      <c r="G46" s="84" t="e">
        <f>G47</f>
        <v>#REF!</v>
      </c>
      <c r="H46" s="84" t="e">
        <f>H47</f>
        <v>#REF!</v>
      </c>
    </row>
    <row r="47" spans="1:11" ht="57" customHeight="1">
      <c r="A47" s="78" t="s">
        <v>295</v>
      </c>
      <c r="B47" s="153"/>
      <c r="C47" s="43" t="s">
        <v>19</v>
      </c>
      <c r="D47" s="43" t="s">
        <v>33</v>
      </c>
      <c r="E47" s="43" t="s">
        <v>301</v>
      </c>
      <c r="F47" s="43"/>
      <c r="G47" s="84" t="e">
        <f>G48</f>
        <v>#REF!</v>
      </c>
      <c r="H47" s="84" t="e">
        <f>H48</f>
        <v>#REF!</v>
      </c>
    </row>
    <row r="48" spans="1:11" ht="33.75" customHeight="1">
      <c r="A48" s="78" t="s">
        <v>170</v>
      </c>
      <c r="B48" s="153"/>
      <c r="C48" s="43" t="s">
        <v>19</v>
      </c>
      <c r="D48" s="43" t="s">
        <v>33</v>
      </c>
      <c r="E48" s="43" t="s">
        <v>301</v>
      </c>
      <c r="F48" s="43" t="s">
        <v>168</v>
      </c>
      <c r="G48" s="84" t="e">
        <f>прил.4!#REF!</f>
        <v>#REF!</v>
      </c>
      <c r="H48" s="44" t="e">
        <f>G48</f>
        <v>#REF!</v>
      </c>
    </row>
    <row r="49" spans="1:11" ht="25.5">
      <c r="A49" s="78" t="s">
        <v>40</v>
      </c>
      <c r="B49" s="153"/>
      <c r="C49" s="43" t="s">
        <v>19</v>
      </c>
      <c r="D49" s="43" t="s">
        <v>24</v>
      </c>
      <c r="E49" s="43"/>
      <c r="F49" s="43"/>
      <c r="G49" s="84">
        <f t="shared" ref="G49:H51" si="0">G50</f>
        <v>4000</v>
      </c>
      <c r="H49" s="44">
        <f t="shared" si="0"/>
        <v>0</v>
      </c>
    </row>
    <row r="50" spans="1:11" ht="51">
      <c r="A50" s="48" t="s">
        <v>193</v>
      </c>
      <c r="B50" s="153"/>
      <c r="C50" s="43" t="s">
        <v>19</v>
      </c>
      <c r="D50" s="43" t="s">
        <v>24</v>
      </c>
      <c r="E50" s="43" t="s">
        <v>41</v>
      </c>
      <c r="F50" s="43"/>
      <c r="G50" s="84">
        <f t="shared" si="0"/>
        <v>4000</v>
      </c>
      <c r="H50" s="44">
        <f t="shared" si="0"/>
        <v>0</v>
      </c>
    </row>
    <row r="51" spans="1:11" ht="38.25">
      <c r="A51" s="78" t="s">
        <v>142</v>
      </c>
      <c r="B51" s="153"/>
      <c r="C51" s="43" t="s">
        <v>19</v>
      </c>
      <c r="D51" s="43" t="s">
        <v>24</v>
      </c>
      <c r="E51" s="43" t="s">
        <v>131</v>
      </c>
      <c r="F51" s="43"/>
      <c r="G51" s="84">
        <f t="shared" si="0"/>
        <v>4000</v>
      </c>
      <c r="H51" s="44">
        <f t="shared" si="0"/>
        <v>0</v>
      </c>
    </row>
    <row r="52" spans="1:11" s="47" customFormat="1" ht="43.5" customHeight="1">
      <c r="A52" s="48" t="s">
        <v>376</v>
      </c>
      <c r="B52" s="153"/>
      <c r="C52" s="43" t="s">
        <v>19</v>
      </c>
      <c r="D52" s="43" t="s">
        <v>24</v>
      </c>
      <c r="E52" s="43" t="s">
        <v>131</v>
      </c>
      <c r="F52" s="43" t="s">
        <v>172</v>
      </c>
      <c r="G52" s="84">
        <v>4000</v>
      </c>
      <c r="H52" s="44">
        <v>0</v>
      </c>
      <c r="I52" s="111"/>
      <c r="J52" s="111"/>
      <c r="K52" s="111"/>
    </row>
    <row r="53" spans="1:11" ht="25.5">
      <c r="A53" s="78" t="s">
        <v>43</v>
      </c>
      <c r="B53" s="153"/>
      <c r="C53" s="43" t="s">
        <v>44</v>
      </c>
      <c r="D53" s="43"/>
      <c r="E53" s="43"/>
      <c r="F53" s="43"/>
      <c r="G53" s="84" t="e">
        <f>G54+G63+G65+G76</f>
        <v>#REF!</v>
      </c>
      <c r="H53" s="84" t="e">
        <f>H54+H63+H65+H76</f>
        <v>#REF!</v>
      </c>
      <c r="I53" s="22"/>
      <c r="J53" s="22"/>
    </row>
    <row r="54" spans="1:11" ht="18" customHeight="1">
      <c r="A54" s="78" t="s">
        <v>45</v>
      </c>
      <c r="B54" s="153"/>
      <c r="C54" s="43" t="s">
        <v>44</v>
      </c>
      <c r="D54" s="43" t="s">
        <v>10</v>
      </c>
      <c r="E54" s="43"/>
      <c r="F54" s="43"/>
      <c r="G54" s="84" t="e">
        <f>G55+G61</f>
        <v>#REF!</v>
      </c>
      <c r="H54" s="84" t="e">
        <f>H55+H61</f>
        <v>#REF!</v>
      </c>
      <c r="I54" s="22"/>
    </row>
    <row r="55" spans="1:11" ht="56.25" customHeight="1">
      <c r="A55" s="48" t="s">
        <v>113</v>
      </c>
      <c r="B55" s="153"/>
      <c r="C55" s="43" t="s">
        <v>44</v>
      </c>
      <c r="D55" s="43" t="s">
        <v>10</v>
      </c>
      <c r="E55" s="43" t="s">
        <v>47</v>
      </c>
      <c r="F55" s="43"/>
      <c r="G55" s="84" t="e">
        <f>G56+G59+11907</f>
        <v>#REF!</v>
      </c>
      <c r="H55" s="84" t="e">
        <f>H56+H59</f>
        <v>#REF!</v>
      </c>
      <c r="I55" s="22" t="s">
        <v>371</v>
      </c>
    </row>
    <row r="56" spans="1:11" ht="57" customHeight="1">
      <c r="A56" s="78" t="s">
        <v>374</v>
      </c>
      <c r="B56" s="153"/>
      <c r="C56" s="43" t="s">
        <v>44</v>
      </c>
      <c r="D56" s="43" t="s">
        <v>10</v>
      </c>
      <c r="E56" s="43" t="s">
        <v>48</v>
      </c>
      <c r="F56" s="43"/>
      <c r="G56" s="84">
        <f>G57</f>
        <v>6330</v>
      </c>
      <c r="H56" s="44">
        <f>H57</f>
        <v>6678.15</v>
      </c>
    </row>
    <row r="57" spans="1:11" ht="55.5" customHeight="1">
      <c r="A57" s="78" t="s">
        <v>374</v>
      </c>
      <c r="B57" s="153"/>
      <c r="C57" s="43" t="s">
        <v>44</v>
      </c>
      <c r="D57" s="43" t="s">
        <v>10</v>
      </c>
      <c r="E57" s="43" t="s">
        <v>49</v>
      </c>
      <c r="F57" s="43"/>
      <c r="G57" s="84">
        <f>G58</f>
        <v>6330</v>
      </c>
      <c r="H57" s="44">
        <f>H58</f>
        <v>6678.15</v>
      </c>
    </row>
    <row r="58" spans="1:11" s="47" customFormat="1" ht="41.25" customHeight="1">
      <c r="A58" s="78" t="s">
        <v>170</v>
      </c>
      <c r="B58" s="153"/>
      <c r="C58" s="43" t="s">
        <v>44</v>
      </c>
      <c r="D58" s="43" t="s">
        <v>10</v>
      </c>
      <c r="E58" s="43" t="s">
        <v>49</v>
      </c>
      <c r="F58" s="43" t="s">
        <v>168</v>
      </c>
      <c r="G58" s="84">
        <f>прил.4!H154*105.5%</f>
        <v>6330</v>
      </c>
      <c r="H58" s="44">
        <f>G58*105.5%</f>
        <v>6678.15</v>
      </c>
      <c r="I58" s="111"/>
      <c r="J58" s="111"/>
      <c r="K58" s="111"/>
    </row>
    <row r="59" spans="1:11" ht="25.5">
      <c r="A59" s="78" t="s">
        <v>165</v>
      </c>
      <c r="B59" s="153"/>
      <c r="C59" s="43" t="s">
        <v>44</v>
      </c>
      <c r="D59" s="43" t="s">
        <v>10</v>
      </c>
      <c r="E59" s="43" t="s">
        <v>164</v>
      </c>
      <c r="F59" s="43"/>
      <c r="G59" s="44" t="e">
        <f>G60</f>
        <v>#REF!</v>
      </c>
      <c r="H59" s="44" t="e">
        <f>H60</f>
        <v>#REF!</v>
      </c>
    </row>
    <row r="60" spans="1:11" ht="25.5">
      <c r="A60" s="78" t="s">
        <v>165</v>
      </c>
      <c r="B60" s="153"/>
      <c r="C60" s="43" t="s">
        <v>44</v>
      </c>
      <c r="D60" s="43" t="s">
        <v>10</v>
      </c>
      <c r="E60" s="43" t="s">
        <v>164</v>
      </c>
      <c r="F60" s="43" t="s">
        <v>172</v>
      </c>
      <c r="G60" s="44" t="e">
        <f>прил.4!#REF!*105%</f>
        <v>#REF!</v>
      </c>
      <c r="H60" s="44" t="e">
        <f>G60*105.5%</f>
        <v>#REF!</v>
      </c>
    </row>
    <row r="61" spans="1:11" ht="63.75">
      <c r="A61" s="109" t="s">
        <v>269</v>
      </c>
      <c r="B61" s="153"/>
      <c r="C61" s="43" t="s">
        <v>44</v>
      </c>
      <c r="D61" s="43" t="s">
        <v>10</v>
      </c>
      <c r="E61" s="43" t="s">
        <v>267</v>
      </c>
      <c r="F61" s="43"/>
      <c r="G61" s="44" t="e">
        <f>G62</f>
        <v>#REF!</v>
      </c>
      <c r="H61" s="44" t="e">
        <f>G61</f>
        <v>#REF!</v>
      </c>
    </row>
    <row r="62" spans="1:11" ht="31.5" customHeight="1">
      <c r="A62" s="78" t="s">
        <v>207</v>
      </c>
      <c r="B62" s="153"/>
      <c r="C62" s="43" t="s">
        <v>44</v>
      </c>
      <c r="D62" s="43" t="s">
        <v>10</v>
      </c>
      <c r="E62" s="43" t="s">
        <v>267</v>
      </c>
      <c r="F62" s="43" t="s">
        <v>168</v>
      </c>
      <c r="G62" s="44" t="e">
        <f>прил.4!#REF!</f>
        <v>#REF!</v>
      </c>
      <c r="H62" s="44" t="e">
        <f>G62</f>
        <v>#REF!</v>
      </c>
    </row>
    <row r="63" spans="1:11" s="47" customFormat="1" ht="45.75" customHeight="1">
      <c r="A63" s="78" t="s">
        <v>364</v>
      </c>
      <c r="B63" s="153"/>
      <c r="C63" s="43" t="s">
        <v>44</v>
      </c>
      <c r="D63" s="43" t="s">
        <v>50</v>
      </c>
      <c r="E63" s="43" t="s">
        <v>414</v>
      </c>
      <c r="F63" s="43"/>
      <c r="G63" s="84">
        <f>G64</f>
        <v>25900</v>
      </c>
      <c r="H63" s="44">
        <f>H64</f>
        <v>27454</v>
      </c>
      <c r="I63" s="111"/>
      <c r="J63" s="111"/>
      <c r="K63" s="111"/>
    </row>
    <row r="64" spans="1:11" s="47" customFormat="1" ht="33.75" customHeight="1">
      <c r="A64" s="78" t="s">
        <v>363</v>
      </c>
      <c r="B64" s="153"/>
      <c r="C64" s="43" t="s">
        <v>44</v>
      </c>
      <c r="D64" s="43" t="s">
        <v>50</v>
      </c>
      <c r="E64" s="43" t="s">
        <v>395</v>
      </c>
      <c r="F64" s="43" t="s">
        <v>168</v>
      </c>
      <c r="G64" s="84">
        <v>25900</v>
      </c>
      <c r="H64" s="44">
        <v>27454</v>
      </c>
      <c r="I64" s="111"/>
      <c r="J64" s="111"/>
      <c r="K64" s="111"/>
    </row>
    <row r="65" spans="1:9" s="121" customFormat="1" ht="18.75" customHeight="1">
      <c r="A65" s="78" t="s">
        <v>51</v>
      </c>
      <c r="B65" s="153"/>
      <c r="C65" s="43" t="s">
        <v>44</v>
      </c>
      <c r="D65" s="43" t="s">
        <v>12</v>
      </c>
      <c r="E65" s="43"/>
      <c r="F65" s="43"/>
      <c r="G65" s="84">
        <f>G66</f>
        <v>119948</v>
      </c>
      <c r="H65" s="84">
        <f>H66</f>
        <v>131184.4</v>
      </c>
      <c r="I65" s="42"/>
    </row>
    <row r="66" spans="1:9" s="121" customFormat="1" ht="21" customHeight="1">
      <c r="A66" s="78" t="s">
        <v>53</v>
      </c>
      <c r="B66" s="153"/>
      <c r="C66" s="43" t="s">
        <v>44</v>
      </c>
      <c r="D66" s="43" t="s">
        <v>12</v>
      </c>
      <c r="E66" s="43" t="s">
        <v>52</v>
      </c>
      <c r="F66" s="43"/>
      <c r="G66" s="84">
        <f>G67+G69+G71+G71+G73</f>
        <v>119948</v>
      </c>
      <c r="H66" s="84">
        <f>H67+H69+H71+H71+H73</f>
        <v>131184.4</v>
      </c>
      <c r="I66" s="42"/>
    </row>
    <row r="67" spans="1:9" s="121" customFormat="1" ht="42" customHeight="1">
      <c r="A67" s="78" t="s">
        <v>223</v>
      </c>
      <c r="B67" s="153"/>
      <c r="C67" s="43" t="s">
        <v>44</v>
      </c>
      <c r="D67" s="43" t="s">
        <v>12</v>
      </c>
      <c r="E67" s="43" t="s">
        <v>54</v>
      </c>
      <c r="F67" s="43"/>
      <c r="G67" s="84">
        <f>G68</f>
        <v>4961.5999999999995</v>
      </c>
      <c r="H67" s="44">
        <f>H68+H70</f>
        <v>16198</v>
      </c>
    </row>
    <row r="68" spans="1:9" s="121" customFormat="1" ht="33.75" customHeight="1">
      <c r="A68" s="78" t="s">
        <v>207</v>
      </c>
      <c r="B68" s="153"/>
      <c r="C68" s="43" t="s">
        <v>44</v>
      </c>
      <c r="D68" s="43" t="s">
        <v>12</v>
      </c>
      <c r="E68" s="43" t="s">
        <v>55</v>
      </c>
      <c r="F68" s="43" t="s">
        <v>168</v>
      </c>
      <c r="G68" s="84">
        <f>4472.2+489.4</f>
        <v>4961.5999999999995</v>
      </c>
      <c r="H68" s="84">
        <f>4472.2+489.4</f>
        <v>4961.5999999999995</v>
      </c>
    </row>
    <row r="69" spans="1:9" s="121" customFormat="1" ht="26.25" customHeight="1">
      <c r="A69" s="78" t="s">
        <v>56</v>
      </c>
      <c r="B69" s="153"/>
      <c r="C69" s="43" t="s">
        <v>44</v>
      </c>
      <c r="D69" s="43" t="s">
        <v>12</v>
      </c>
      <c r="E69" s="43" t="s">
        <v>57</v>
      </c>
      <c r="F69" s="43"/>
      <c r="G69" s="84">
        <f>G70</f>
        <v>11236.4</v>
      </c>
      <c r="H69" s="44">
        <f>H70</f>
        <v>11236.4</v>
      </c>
    </row>
    <row r="70" spans="1:9" s="121" customFormat="1" ht="33.75" customHeight="1">
      <c r="A70" s="78" t="s">
        <v>207</v>
      </c>
      <c r="B70" s="153"/>
      <c r="C70" s="43" t="s">
        <v>44</v>
      </c>
      <c r="D70" s="43" t="s">
        <v>12</v>
      </c>
      <c r="E70" s="43" t="s">
        <v>57</v>
      </c>
      <c r="F70" s="43" t="s">
        <v>168</v>
      </c>
      <c r="G70" s="84">
        <v>11236.4</v>
      </c>
      <c r="H70" s="44">
        <v>11236.4</v>
      </c>
    </row>
    <row r="71" spans="1:9" ht="29.25" customHeight="1">
      <c r="A71" s="78" t="s">
        <v>58</v>
      </c>
      <c r="B71" s="153"/>
      <c r="C71" s="43" t="s">
        <v>44</v>
      </c>
      <c r="D71" s="43" t="s">
        <v>12</v>
      </c>
      <c r="E71" s="43" t="s">
        <v>59</v>
      </c>
      <c r="F71" s="43"/>
      <c r="G71" s="84">
        <f>G72</f>
        <v>25756.5</v>
      </c>
      <c r="H71" s="84">
        <f>H72</f>
        <v>25756.5</v>
      </c>
    </row>
    <row r="72" spans="1:9" ht="25.5">
      <c r="A72" s="78" t="s">
        <v>207</v>
      </c>
      <c r="B72" s="153"/>
      <c r="C72" s="43" t="s">
        <v>44</v>
      </c>
      <c r="D72" s="43" t="s">
        <v>12</v>
      </c>
      <c r="E72" s="43" t="s">
        <v>59</v>
      </c>
      <c r="F72" s="43" t="s">
        <v>168</v>
      </c>
      <c r="G72" s="84">
        <v>25756.5</v>
      </c>
      <c r="H72" s="84">
        <v>25756.5</v>
      </c>
    </row>
    <row r="73" spans="1:9" ht="34.5" customHeight="1">
      <c r="A73" s="78" t="s">
        <v>60</v>
      </c>
      <c r="B73" s="153"/>
      <c r="C73" s="43" t="s">
        <v>44</v>
      </c>
      <c r="D73" s="43" t="s">
        <v>12</v>
      </c>
      <c r="E73" s="43" t="s">
        <v>61</v>
      </c>
      <c r="F73" s="43"/>
      <c r="G73" s="84">
        <f>G74+G75</f>
        <v>52237</v>
      </c>
      <c r="H73" s="84">
        <f>H74+H75</f>
        <v>52237</v>
      </c>
    </row>
    <row r="74" spans="1:9" ht="35.25" customHeight="1">
      <c r="A74" s="78" t="s">
        <v>207</v>
      </c>
      <c r="B74" s="153"/>
      <c r="C74" s="43" t="s">
        <v>44</v>
      </c>
      <c r="D74" s="43" t="s">
        <v>12</v>
      </c>
      <c r="E74" s="43" t="s">
        <v>61</v>
      </c>
      <c r="F74" s="43" t="s">
        <v>168</v>
      </c>
      <c r="G74" s="84">
        <f>прил.4!H177</f>
        <v>51287</v>
      </c>
      <c r="H74" s="84">
        <f>G74</f>
        <v>51287</v>
      </c>
    </row>
    <row r="75" spans="1:9" ht="51.75" customHeight="1">
      <c r="A75" s="48" t="s">
        <v>325</v>
      </c>
      <c r="B75" s="153"/>
      <c r="C75" s="43" t="s">
        <v>44</v>
      </c>
      <c r="D75" s="43" t="s">
        <v>12</v>
      </c>
      <c r="E75" s="43" t="s">
        <v>61</v>
      </c>
      <c r="F75" s="43" t="s">
        <v>326</v>
      </c>
      <c r="G75" s="84">
        <v>950</v>
      </c>
      <c r="H75" s="84">
        <v>950</v>
      </c>
    </row>
    <row r="76" spans="1:9" ht="25.5">
      <c r="A76" s="78" t="s">
        <v>62</v>
      </c>
      <c r="B76" s="153"/>
      <c r="C76" s="43" t="s">
        <v>44</v>
      </c>
      <c r="D76" s="43" t="s">
        <v>44</v>
      </c>
      <c r="E76" s="43"/>
      <c r="F76" s="43"/>
      <c r="G76" s="84" t="e">
        <f>G77</f>
        <v>#REF!</v>
      </c>
      <c r="H76" s="44" t="e">
        <f t="shared" ref="H76:H83" si="1">G76*105%</f>
        <v>#REF!</v>
      </c>
    </row>
    <row r="77" spans="1:9" ht="63.75">
      <c r="A77" s="78" t="s">
        <v>109</v>
      </c>
      <c r="B77" s="153"/>
      <c r="C77" s="43" t="s">
        <v>44</v>
      </c>
      <c r="D77" s="43" t="s">
        <v>44</v>
      </c>
      <c r="E77" s="43" t="s">
        <v>14</v>
      </c>
      <c r="F77" s="43"/>
      <c r="G77" s="84" t="e">
        <f>G78</f>
        <v>#REF!</v>
      </c>
      <c r="H77" s="44" t="e">
        <f t="shared" si="1"/>
        <v>#REF!</v>
      </c>
    </row>
    <row r="78" spans="1:9" ht="25.5">
      <c r="A78" s="78" t="s">
        <v>36</v>
      </c>
      <c r="B78" s="153"/>
      <c r="C78" s="43" t="s">
        <v>44</v>
      </c>
      <c r="D78" s="43" t="s">
        <v>44</v>
      </c>
      <c r="E78" s="43" t="s">
        <v>297</v>
      </c>
      <c r="F78" s="43"/>
      <c r="G78" s="84" t="e">
        <f>G79</f>
        <v>#REF!</v>
      </c>
      <c r="H78" s="44" t="e">
        <f t="shared" si="1"/>
        <v>#REF!</v>
      </c>
    </row>
    <row r="79" spans="1:9" ht="30" customHeight="1">
      <c r="A79" s="78" t="s">
        <v>36</v>
      </c>
      <c r="B79" s="153"/>
      <c r="C79" s="43" t="s">
        <v>44</v>
      </c>
      <c r="D79" s="43" t="s">
        <v>44</v>
      </c>
      <c r="E79" s="43" t="s">
        <v>297</v>
      </c>
      <c r="F79" s="43"/>
      <c r="G79" s="84" t="e">
        <f>G80+G81+G82+G83</f>
        <v>#REF!</v>
      </c>
      <c r="H79" s="44" t="e">
        <f t="shared" si="1"/>
        <v>#REF!</v>
      </c>
    </row>
    <row r="80" spans="1:9" ht="25.5">
      <c r="A80" s="78" t="s">
        <v>169</v>
      </c>
      <c r="B80" s="153"/>
      <c r="C80" s="43" t="s">
        <v>44</v>
      </c>
      <c r="D80" s="43" t="s">
        <v>44</v>
      </c>
      <c r="E80" s="43" t="s">
        <v>297</v>
      </c>
      <c r="F80" s="43" t="s">
        <v>171</v>
      </c>
      <c r="G80" s="84" t="e">
        <f>прил.4!#REF!*105.5%</f>
        <v>#REF!</v>
      </c>
      <c r="H80" s="44" t="e">
        <f t="shared" si="1"/>
        <v>#REF!</v>
      </c>
    </row>
    <row r="81" spans="1:11" ht="42" customHeight="1">
      <c r="A81" s="78" t="s">
        <v>207</v>
      </c>
      <c r="B81" s="153"/>
      <c r="C81" s="43" t="s">
        <v>44</v>
      </c>
      <c r="D81" s="43" t="s">
        <v>44</v>
      </c>
      <c r="E81" s="43" t="s">
        <v>297</v>
      </c>
      <c r="F81" s="43" t="s">
        <v>168</v>
      </c>
      <c r="G81" s="84">
        <f>прил.4!H181*105.5%</f>
        <v>4320.2249999999995</v>
      </c>
      <c r="H81" s="44">
        <f t="shared" si="1"/>
        <v>4536.2362499999999</v>
      </c>
    </row>
    <row r="82" spans="1:11" ht="25.5">
      <c r="A82" s="78" t="s">
        <v>264</v>
      </c>
      <c r="B82" s="153"/>
      <c r="C82" s="43" t="s">
        <v>44</v>
      </c>
      <c r="D82" s="43" t="s">
        <v>44</v>
      </c>
      <c r="E82" s="43" t="s">
        <v>297</v>
      </c>
      <c r="F82" s="43" t="s">
        <v>189</v>
      </c>
      <c r="G82" s="84">
        <f>прил.4!H182*105.5%</f>
        <v>835.66549999999995</v>
      </c>
      <c r="H82" s="44">
        <f t="shared" si="1"/>
        <v>877.44877499999996</v>
      </c>
    </row>
    <row r="83" spans="1:11" ht="27.75" customHeight="1">
      <c r="A83" s="78" t="s">
        <v>206</v>
      </c>
      <c r="B83" s="153"/>
      <c r="C83" s="43" t="s">
        <v>44</v>
      </c>
      <c r="D83" s="43" t="s">
        <v>44</v>
      </c>
      <c r="E83" s="43" t="s">
        <v>297</v>
      </c>
      <c r="F83" s="43" t="s">
        <v>192</v>
      </c>
      <c r="G83" s="84" t="e">
        <f>прил.4!#REF!*105.5%</f>
        <v>#REF!</v>
      </c>
      <c r="H83" s="44" t="e">
        <f t="shared" si="1"/>
        <v>#REF!</v>
      </c>
    </row>
    <row r="84" spans="1:11" ht="18" customHeight="1">
      <c r="A84" s="78" t="s">
        <v>114</v>
      </c>
      <c r="B84" s="153"/>
      <c r="C84" s="43" t="s">
        <v>64</v>
      </c>
      <c r="D84" s="43"/>
      <c r="E84" s="43"/>
      <c r="F84" s="43"/>
      <c r="G84" s="84">
        <f>G85+G87</f>
        <v>1375</v>
      </c>
      <c r="H84" s="84">
        <f>H85+H87</f>
        <v>125</v>
      </c>
    </row>
    <row r="85" spans="1:11" ht="76.5" customHeight="1">
      <c r="A85" s="78" t="s">
        <v>447</v>
      </c>
      <c r="B85" s="153"/>
      <c r="C85" s="43" t="s">
        <v>64</v>
      </c>
      <c r="D85" s="43" t="s">
        <v>44</v>
      </c>
      <c r="E85" s="43" t="s">
        <v>399</v>
      </c>
      <c r="F85" s="43"/>
      <c r="G85" s="84">
        <f>G86</f>
        <v>400</v>
      </c>
      <c r="H85" s="44">
        <v>0</v>
      </c>
    </row>
    <row r="86" spans="1:11" ht="39.75" customHeight="1">
      <c r="A86" s="78" t="s">
        <v>207</v>
      </c>
      <c r="B86" s="153"/>
      <c r="C86" s="43" t="s">
        <v>64</v>
      </c>
      <c r="D86" s="43" t="s">
        <v>44</v>
      </c>
      <c r="E86" s="43" t="s">
        <v>399</v>
      </c>
      <c r="F86" s="43" t="s">
        <v>168</v>
      </c>
      <c r="G86" s="84">
        <v>400</v>
      </c>
      <c r="H86" s="44">
        <v>0</v>
      </c>
    </row>
    <row r="87" spans="1:11" ht="27.75" customHeight="1">
      <c r="A87" s="78" t="s">
        <v>29</v>
      </c>
      <c r="B87" s="153"/>
      <c r="C87" s="43" t="s">
        <v>64</v>
      </c>
      <c r="D87" s="43" t="s">
        <v>64</v>
      </c>
      <c r="E87" s="43"/>
      <c r="F87" s="43"/>
      <c r="G87" s="84">
        <f>G88+G90+G92</f>
        <v>975</v>
      </c>
      <c r="H87" s="84">
        <f>H88+H90+H92</f>
        <v>125</v>
      </c>
    </row>
    <row r="88" spans="1:11" ht="41.25" customHeight="1">
      <c r="A88" s="78" t="s">
        <v>453</v>
      </c>
      <c r="B88" s="153"/>
      <c r="C88" s="43" t="s">
        <v>64</v>
      </c>
      <c r="D88" s="43" t="s">
        <v>64</v>
      </c>
      <c r="E88" s="43" t="s">
        <v>276</v>
      </c>
      <c r="F88" s="43"/>
      <c r="G88" s="84">
        <f>G89</f>
        <v>75</v>
      </c>
      <c r="H88" s="44">
        <f>H89</f>
        <v>75</v>
      </c>
    </row>
    <row r="89" spans="1:11" ht="32.25" customHeight="1">
      <c r="A89" s="78" t="s">
        <v>207</v>
      </c>
      <c r="B89" s="153"/>
      <c r="C89" s="43" t="s">
        <v>64</v>
      </c>
      <c r="D89" s="43" t="s">
        <v>64</v>
      </c>
      <c r="E89" s="43" t="s">
        <v>276</v>
      </c>
      <c r="F89" s="43" t="s">
        <v>168</v>
      </c>
      <c r="G89" s="84">
        <v>75</v>
      </c>
      <c r="H89" s="44">
        <v>75</v>
      </c>
    </row>
    <row r="90" spans="1:11" s="47" customFormat="1" ht="31.5" customHeight="1">
      <c r="A90" s="48" t="s">
        <v>460</v>
      </c>
      <c r="B90" s="153"/>
      <c r="C90" s="43" t="s">
        <v>64</v>
      </c>
      <c r="D90" s="43" t="s">
        <v>64</v>
      </c>
      <c r="E90" s="43" t="s">
        <v>394</v>
      </c>
      <c r="F90" s="43"/>
      <c r="G90" s="84">
        <f>G91</f>
        <v>850</v>
      </c>
      <c r="H90" s="44">
        <f>H91</f>
        <v>0</v>
      </c>
      <c r="I90" s="111"/>
      <c r="J90" s="111"/>
      <c r="K90" s="111"/>
    </row>
    <row r="91" spans="1:11" ht="25.5">
      <c r="A91" s="78" t="s">
        <v>207</v>
      </c>
      <c r="B91" s="153"/>
      <c r="C91" s="43" t="s">
        <v>64</v>
      </c>
      <c r="D91" s="43" t="s">
        <v>64</v>
      </c>
      <c r="E91" s="43" t="s">
        <v>394</v>
      </c>
      <c r="F91" s="43" t="s">
        <v>168</v>
      </c>
      <c r="G91" s="44">
        <v>850</v>
      </c>
      <c r="H91" s="44">
        <v>0</v>
      </c>
    </row>
    <row r="92" spans="1:11" ht="52.5" customHeight="1">
      <c r="A92" s="109" t="s">
        <v>438</v>
      </c>
      <c r="B92" s="153"/>
      <c r="C92" s="43" t="s">
        <v>64</v>
      </c>
      <c r="D92" s="43" t="s">
        <v>64</v>
      </c>
      <c r="E92" s="43"/>
      <c r="F92" s="43"/>
      <c r="G92" s="44">
        <f>G93</f>
        <v>50</v>
      </c>
      <c r="H92" s="44">
        <f>H93</f>
        <v>50</v>
      </c>
    </row>
    <row r="93" spans="1:11" ht="32.25" customHeight="1">
      <c r="A93" s="78" t="s">
        <v>207</v>
      </c>
      <c r="B93" s="153"/>
      <c r="C93" s="43" t="s">
        <v>64</v>
      </c>
      <c r="D93" s="43" t="s">
        <v>64</v>
      </c>
      <c r="E93" s="43" t="s">
        <v>31</v>
      </c>
      <c r="F93" s="43" t="s">
        <v>168</v>
      </c>
      <c r="G93" s="44">
        <v>50</v>
      </c>
      <c r="H93" s="44">
        <v>50</v>
      </c>
    </row>
    <row r="94" spans="1:11" ht="22.5" customHeight="1">
      <c r="A94" s="78" t="s">
        <v>97</v>
      </c>
      <c r="B94" s="153"/>
      <c r="C94" s="43">
        <v>10</v>
      </c>
      <c r="D94" s="43"/>
      <c r="E94" s="43"/>
      <c r="F94" s="43"/>
      <c r="G94" s="84">
        <f>G95+G99+G104</f>
        <v>28390.399999999998</v>
      </c>
      <c r="H94" s="84">
        <f>H95+H99+H104</f>
        <v>11816.169999999998</v>
      </c>
      <c r="I94" s="22" t="s">
        <v>371</v>
      </c>
    </row>
    <row r="95" spans="1:11" ht="18.75" customHeight="1">
      <c r="A95" s="78" t="s">
        <v>98</v>
      </c>
      <c r="B95" s="153"/>
      <c r="C95" s="43">
        <v>10</v>
      </c>
      <c r="D95" s="43" t="s">
        <v>10</v>
      </c>
      <c r="E95" s="43"/>
      <c r="F95" s="43"/>
      <c r="G95" s="84">
        <f>G97</f>
        <v>9281.4</v>
      </c>
      <c r="H95" s="44">
        <f>G95*105%</f>
        <v>9745.4699999999993</v>
      </c>
    </row>
    <row r="96" spans="1:11" ht="25.5">
      <c r="A96" s="78" t="s">
        <v>99</v>
      </c>
      <c r="B96" s="153"/>
      <c r="C96" s="43" t="s">
        <v>115</v>
      </c>
      <c r="D96" s="43" t="s">
        <v>10</v>
      </c>
      <c r="E96" s="43" t="s">
        <v>100</v>
      </c>
      <c r="F96" s="43"/>
      <c r="G96" s="84">
        <f>G97</f>
        <v>9281.4</v>
      </c>
      <c r="H96" s="44">
        <f>G96*105%</f>
        <v>9745.4699999999993</v>
      </c>
    </row>
    <row r="97" spans="1:8" ht="38.25">
      <c r="A97" s="78" t="s">
        <v>101</v>
      </c>
      <c r="B97" s="153"/>
      <c r="C97" s="43">
        <v>10</v>
      </c>
      <c r="D97" s="43" t="s">
        <v>10</v>
      </c>
      <c r="E97" s="43" t="s">
        <v>102</v>
      </c>
      <c r="F97" s="43"/>
      <c r="G97" s="84">
        <f>G98</f>
        <v>9281.4</v>
      </c>
      <c r="H97" s="44">
        <f>G97*105%</f>
        <v>9745.4699999999993</v>
      </c>
    </row>
    <row r="98" spans="1:8" ht="30.75" customHeight="1">
      <c r="A98" s="78" t="s">
        <v>237</v>
      </c>
      <c r="B98" s="153"/>
      <c r="C98" s="43">
        <v>10</v>
      </c>
      <c r="D98" s="43" t="s">
        <v>10</v>
      </c>
      <c r="E98" s="43" t="s">
        <v>102</v>
      </c>
      <c r="F98" s="43" t="s">
        <v>208</v>
      </c>
      <c r="G98" s="84">
        <v>9281.4</v>
      </c>
      <c r="H98" s="44">
        <f>G98*105%</f>
        <v>9745.4699999999993</v>
      </c>
    </row>
    <row r="99" spans="1:8" ht="24.75" customHeight="1">
      <c r="A99" s="78" t="s">
        <v>103</v>
      </c>
      <c r="B99" s="153"/>
      <c r="C99" s="43" t="s">
        <v>94</v>
      </c>
      <c r="D99" s="43" t="s">
        <v>12</v>
      </c>
      <c r="E99" s="43"/>
      <c r="F99" s="43"/>
      <c r="G99" s="84">
        <f>G100+G102</f>
        <v>17038.3</v>
      </c>
      <c r="H99" s="84">
        <f>H100+H102</f>
        <v>0</v>
      </c>
    </row>
    <row r="100" spans="1:8" ht="54.75" customHeight="1">
      <c r="A100" s="78" t="s">
        <v>443</v>
      </c>
      <c r="B100" s="153"/>
      <c r="C100" s="43" t="s">
        <v>94</v>
      </c>
      <c r="D100" s="43" t="s">
        <v>12</v>
      </c>
      <c r="E100" s="43" t="s">
        <v>275</v>
      </c>
      <c r="F100" s="43"/>
      <c r="G100" s="84">
        <f>G101</f>
        <v>1638.3</v>
      </c>
      <c r="H100" s="84">
        <f>H101</f>
        <v>0</v>
      </c>
    </row>
    <row r="101" spans="1:8" ht="34.5" customHeight="1">
      <c r="A101" s="78" t="s">
        <v>207</v>
      </c>
      <c r="B101" s="153"/>
      <c r="C101" s="43" t="s">
        <v>94</v>
      </c>
      <c r="D101" s="43" t="s">
        <v>12</v>
      </c>
      <c r="E101" s="43" t="s">
        <v>275</v>
      </c>
      <c r="F101" s="43" t="s">
        <v>168</v>
      </c>
      <c r="G101" s="84">
        <v>1638.3</v>
      </c>
      <c r="H101" s="84">
        <v>0</v>
      </c>
    </row>
    <row r="102" spans="1:8" ht="41.25" customHeight="1">
      <c r="A102" s="48" t="s">
        <v>448</v>
      </c>
      <c r="B102" s="153"/>
      <c r="C102" s="43" t="s">
        <v>94</v>
      </c>
      <c r="D102" s="43" t="s">
        <v>12</v>
      </c>
      <c r="E102" s="43" t="s">
        <v>151</v>
      </c>
      <c r="F102" s="154"/>
      <c r="G102" s="84">
        <f>G103</f>
        <v>15400</v>
      </c>
      <c r="H102" s="44">
        <f>H103</f>
        <v>0</v>
      </c>
    </row>
    <row r="103" spans="1:8" ht="19.5" customHeight="1">
      <c r="A103" s="78" t="s">
        <v>283</v>
      </c>
      <c r="B103" s="153"/>
      <c r="C103" s="43" t="s">
        <v>94</v>
      </c>
      <c r="D103" s="43" t="s">
        <v>12</v>
      </c>
      <c r="E103" s="43" t="s">
        <v>151</v>
      </c>
      <c r="F103" s="154">
        <v>322</v>
      </c>
      <c r="G103" s="84">
        <v>15400</v>
      </c>
      <c r="H103" s="44">
        <v>0</v>
      </c>
    </row>
    <row r="104" spans="1:8" ht="42.75" customHeight="1">
      <c r="A104" s="48" t="s">
        <v>377</v>
      </c>
      <c r="B104" s="153"/>
      <c r="C104" s="43" t="s">
        <v>94</v>
      </c>
      <c r="D104" s="43" t="s">
        <v>89</v>
      </c>
      <c r="E104" s="43" t="s">
        <v>246</v>
      </c>
      <c r="F104" s="154"/>
      <c r="G104" s="84">
        <f>G105</f>
        <v>2070.6999999999998</v>
      </c>
      <c r="H104" s="84">
        <f>H105</f>
        <v>2070.6999999999998</v>
      </c>
    </row>
    <row r="105" spans="1:8" ht="33.75" customHeight="1">
      <c r="A105" s="78" t="s">
        <v>169</v>
      </c>
      <c r="B105" s="153"/>
      <c r="C105" s="43" t="s">
        <v>94</v>
      </c>
      <c r="D105" s="43" t="s">
        <v>89</v>
      </c>
      <c r="E105" s="43" t="s">
        <v>246</v>
      </c>
      <c r="F105" s="154">
        <v>111</v>
      </c>
      <c r="G105" s="84">
        <v>2070.6999999999998</v>
      </c>
      <c r="H105" s="44">
        <f>G105</f>
        <v>2070.6999999999998</v>
      </c>
    </row>
    <row r="106" spans="1:8" ht="25.5">
      <c r="A106" s="102" t="s">
        <v>132</v>
      </c>
      <c r="B106" s="108">
        <v>805</v>
      </c>
      <c r="C106" s="77"/>
      <c r="D106" s="77"/>
      <c r="E106" s="77"/>
      <c r="F106" s="77"/>
      <c r="G106" s="85" t="e">
        <f>G108</f>
        <v>#REF!</v>
      </c>
      <c r="H106" s="74" t="e">
        <f t="shared" ref="H106:H111" si="2">G106*105%</f>
        <v>#REF!</v>
      </c>
    </row>
    <row r="107" spans="1:8" ht="18.75" customHeight="1">
      <c r="A107" s="48" t="s">
        <v>9</v>
      </c>
      <c r="B107" s="153"/>
      <c r="C107" s="43" t="s">
        <v>10</v>
      </c>
      <c r="D107" s="154"/>
      <c r="E107" s="154"/>
      <c r="F107" s="154"/>
      <c r="G107" s="84" t="e">
        <f>G108</f>
        <v>#REF!</v>
      </c>
      <c r="H107" s="44" t="e">
        <f t="shared" si="2"/>
        <v>#REF!</v>
      </c>
    </row>
    <row r="108" spans="1:8" s="24" customFormat="1" ht="51">
      <c r="A108" s="48" t="s">
        <v>133</v>
      </c>
      <c r="B108" s="77"/>
      <c r="C108" s="43" t="s">
        <v>10</v>
      </c>
      <c r="D108" s="43" t="s">
        <v>89</v>
      </c>
      <c r="E108" s="43"/>
      <c r="F108" s="43"/>
      <c r="G108" s="44" t="e">
        <f>G109</f>
        <v>#REF!</v>
      </c>
      <c r="H108" s="44" t="e">
        <f t="shared" si="2"/>
        <v>#REF!</v>
      </c>
    </row>
    <row r="109" spans="1:8" ht="63.75">
      <c r="A109" s="78" t="s">
        <v>13</v>
      </c>
      <c r="B109" s="43"/>
      <c r="C109" s="43" t="s">
        <v>10</v>
      </c>
      <c r="D109" s="43" t="s">
        <v>89</v>
      </c>
      <c r="E109" s="43" t="s">
        <v>14</v>
      </c>
      <c r="F109" s="43"/>
      <c r="G109" s="44" t="e">
        <f>G110</f>
        <v>#REF!</v>
      </c>
      <c r="H109" s="44" t="e">
        <f t="shared" si="2"/>
        <v>#REF!</v>
      </c>
    </row>
    <row r="110" spans="1:8">
      <c r="A110" s="48" t="s">
        <v>15</v>
      </c>
      <c r="B110" s="43"/>
      <c r="C110" s="43" t="s">
        <v>10</v>
      </c>
      <c r="D110" s="43" t="s">
        <v>89</v>
      </c>
      <c r="E110" s="43" t="s">
        <v>16</v>
      </c>
      <c r="F110" s="43"/>
      <c r="G110" s="44" t="e">
        <f>G111</f>
        <v>#REF!</v>
      </c>
      <c r="H110" s="44" t="e">
        <f t="shared" si="2"/>
        <v>#REF!</v>
      </c>
    </row>
    <row r="111" spans="1:8">
      <c r="A111" s="48" t="s">
        <v>15</v>
      </c>
      <c r="B111" s="43"/>
      <c r="C111" s="43" t="s">
        <v>10</v>
      </c>
      <c r="D111" s="43" t="s">
        <v>89</v>
      </c>
      <c r="E111" s="43" t="s">
        <v>17</v>
      </c>
      <c r="F111" s="43"/>
      <c r="G111" s="44" t="e">
        <f>G112+G114+G115+G116</f>
        <v>#REF!</v>
      </c>
      <c r="H111" s="44" t="e">
        <f t="shared" si="2"/>
        <v>#REF!</v>
      </c>
    </row>
    <row r="112" spans="1:8" ht="25.5">
      <c r="A112" s="78" t="s">
        <v>169</v>
      </c>
      <c r="B112" s="43"/>
      <c r="C112" s="43" t="s">
        <v>10</v>
      </c>
      <c r="D112" s="43" t="s">
        <v>89</v>
      </c>
      <c r="E112" s="43" t="s">
        <v>17</v>
      </c>
      <c r="F112" s="43" t="s">
        <v>167</v>
      </c>
      <c r="G112" s="84">
        <f>прил.4!H122*105.5%</f>
        <v>5730.3379999999997</v>
      </c>
      <c r="H112" s="44">
        <f>G112*105.5%</f>
        <v>6045.5065899999991</v>
      </c>
    </row>
    <row r="113" spans="1:8" ht="30.75" hidden="1" customHeight="1">
      <c r="A113" s="78" t="s">
        <v>365</v>
      </c>
      <c r="B113" s="43"/>
      <c r="C113" s="43" t="s">
        <v>10</v>
      </c>
      <c r="D113" s="43" t="s">
        <v>89</v>
      </c>
      <c r="E113" s="43" t="s">
        <v>17</v>
      </c>
      <c r="F113" s="43" t="s">
        <v>203</v>
      </c>
      <c r="G113" s="84">
        <v>0</v>
      </c>
      <c r="H113" s="44">
        <f>G113*105.5%</f>
        <v>0</v>
      </c>
    </row>
    <row r="114" spans="1:8" ht="40.5" customHeight="1">
      <c r="A114" s="78" t="s">
        <v>207</v>
      </c>
      <c r="B114" s="43"/>
      <c r="C114" s="43" t="s">
        <v>10</v>
      </c>
      <c r="D114" s="43" t="s">
        <v>89</v>
      </c>
      <c r="E114" s="43" t="s">
        <v>17</v>
      </c>
      <c r="F114" s="43" t="s">
        <v>168</v>
      </c>
      <c r="G114" s="84">
        <f>прил.4!H123*105.5%</f>
        <v>948.02300000000002</v>
      </c>
      <c r="H114" s="44">
        <f>G114*105.5%</f>
        <v>1000.164265</v>
      </c>
    </row>
    <row r="115" spans="1:8" ht="40.5" customHeight="1">
      <c r="A115" s="78" t="s">
        <v>264</v>
      </c>
      <c r="B115" s="43"/>
      <c r="C115" s="43" t="s">
        <v>10</v>
      </c>
      <c r="D115" s="43" t="s">
        <v>89</v>
      </c>
      <c r="E115" s="43" t="s">
        <v>17</v>
      </c>
      <c r="F115" s="43" t="s">
        <v>189</v>
      </c>
      <c r="G115" s="84">
        <f>прил.4!H124*105.5%</f>
        <v>20.044999999999998</v>
      </c>
      <c r="H115" s="44">
        <f>G115*105.5%</f>
        <v>21.147474999999996</v>
      </c>
    </row>
    <row r="116" spans="1:8" ht="40.5" customHeight="1">
      <c r="A116" s="78" t="s">
        <v>206</v>
      </c>
      <c r="B116" s="43"/>
      <c r="C116" s="43" t="s">
        <v>10</v>
      </c>
      <c r="D116" s="43" t="s">
        <v>89</v>
      </c>
      <c r="E116" s="43" t="s">
        <v>17</v>
      </c>
      <c r="F116" s="43" t="s">
        <v>192</v>
      </c>
      <c r="G116" s="84" t="e">
        <f>прил.4!#REF!*105.5%</f>
        <v>#REF!</v>
      </c>
      <c r="H116" s="44" t="e">
        <f>G116*105.5%</f>
        <v>#REF!</v>
      </c>
    </row>
    <row r="117" spans="1:8" ht="40.5" customHeight="1">
      <c r="A117" s="102" t="s">
        <v>227</v>
      </c>
      <c r="B117" s="108" t="s">
        <v>226</v>
      </c>
      <c r="C117" s="77"/>
      <c r="D117" s="77"/>
      <c r="E117" s="77"/>
      <c r="F117" s="77"/>
      <c r="G117" s="85">
        <f t="shared" ref="G117:H119" si="3">G118</f>
        <v>9119.9</v>
      </c>
      <c r="H117" s="74">
        <f t="shared" si="3"/>
        <v>9119.9</v>
      </c>
    </row>
    <row r="118" spans="1:8" ht="19.5" customHeight="1">
      <c r="A118" s="48" t="s">
        <v>9</v>
      </c>
      <c r="B118" s="153"/>
      <c r="C118" s="43" t="s">
        <v>10</v>
      </c>
      <c r="D118" s="43"/>
      <c r="E118" s="43"/>
      <c r="F118" s="43"/>
      <c r="G118" s="84">
        <f t="shared" si="3"/>
        <v>9119.9</v>
      </c>
      <c r="H118" s="44">
        <f t="shared" si="3"/>
        <v>9119.9</v>
      </c>
    </row>
    <row r="119" spans="1:8" ht="24" customHeight="1">
      <c r="A119" s="78" t="s">
        <v>28</v>
      </c>
      <c r="B119" s="153"/>
      <c r="C119" s="79" t="s">
        <v>10</v>
      </c>
      <c r="D119" s="43" t="s">
        <v>154</v>
      </c>
      <c r="E119" s="43"/>
      <c r="F119" s="43"/>
      <c r="G119" s="84">
        <f t="shared" si="3"/>
        <v>9119.9</v>
      </c>
      <c r="H119" s="84">
        <f t="shared" si="3"/>
        <v>9119.9</v>
      </c>
    </row>
    <row r="120" spans="1:8" ht="26.25" customHeight="1">
      <c r="A120" s="78" t="s">
        <v>229</v>
      </c>
      <c r="B120" s="43"/>
      <c r="C120" s="43" t="s">
        <v>10</v>
      </c>
      <c r="D120" s="43" t="s">
        <v>154</v>
      </c>
      <c r="E120" s="43" t="s">
        <v>228</v>
      </c>
      <c r="F120" s="43"/>
      <c r="G120" s="84">
        <f>G121+G122+G123</f>
        <v>9119.9</v>
      </c>
      <c r="H120" s="84">
        <f>H121+H122+H123</f>
        <v>9119.9</v>
      </c>
    </row>
    <row r="121" spans="1:8" ht="26.25" customHeight="1">
      <c r="A121" s="78" t="s">
        <v>209</v>
      </c>
      <c r="B121" s="43"/>
      <c r="C121" s="43" t="s">
        <v>10</v>
      </c>
      <c r="D121" s="43" t="s">
        <v>154</v>
      </c>
      <c r="E121" s="43" t="s">
        <v>228</v>
      </c>
      <c r="F121" s="43" t="s">
        <v>171</v>
      </c>
      <c r="G121" s="84">
        <v>8522.4</v>
      </c>
      <c r="H121" s="44">
        <v>8522.4</v>
      </c>
    </row>
    <row r="122" spans="1:8" ht="28.5" customHeight="1">
      <c r="A122" s="78" t="s">
        <v>207</v>
      </c>
      <c r="B122" s="43"/>
      <c r="C122" s="43" t="s">
        <v>10</v>
      </c>
      <c r="D122" s="43" t="s">
        <v>154</v>
      </c>
      <c r="E122" s="43" t="s">
        <v>228</v>
      </c>
      <c r="F122" s="43" t="s">
        <v>168</v>
      </c>
      <c r="G122" s="84">
        <f>431.5+146</f>
        <v>577.5</v>
      </c>
      <c r="H122" s="84">
        <f>431.5+146</f>
        <v>577.5</v>
      </c>
    </row>
    <row r="123" spans="1:8" ht="32.25" customHeight="1">
      <c r="A123" s="78" t="s">
        <v>372</v>
      </c>
      <c r="B123" s="43"/>
      <c r="C123" s="43" t="s">
        <v>10</v>
      </c>
      <c r="D123" s="43" t="s">
        <v>154</v>
      </c>
      <c r="E123" s="43" t="s">
        <v>228</v>
      </c>
      <c r="F123" s="43" t="s">
        <v>189</v>
      </c>
      <c r="G123" s="84">
        <v>20</v>
      </c>
      <c r="H123" s="44">
        <f>G123</f>
        <v>20</v>
      </c>
    </row>
    <row r="124" spans="1:8" ht="25.5">
      <c r="A124" s="102" t="s">
        <v>378</v>
      </c>
      <c r="B124" s="108">
        <v>830</v>
      </c>
      <c r="C124" s="77"/>
      <c r="D124" s="77"/>
      <c r="E124" s="77"/>
      <c r="F124" s="77"/>
      <c r="G124" s="85" t="e">
        <f>G125</f>
        <v>#REF!</v>
      </c>
      <c r="H124" s="74" t="e">
        <f t="shared" ref="H124:H129" si="4">G124*105%</f>
        <v>#REF!</v>
      </c>
    </row>
    <row r="125" spans="1:8" ht="19.5" customHeight="1">
      <c r="A125" s="78" t="s">
        <v>9</v>
      </c>
      <c r="B125" s="153"/>
      <c r="C125" s="43" t="s">
        <v>10</v>
      </c>
      <c r="D125" s="43"/>
      <c r="E125" s="43"/>
      <c r="F125" s="43"/>
      <c r="G125" s="84" t="e">
        <f>G126+G134</f>
        <v>#REF!</v>
      </c>
      <c r="H125" s="44" t="e">
        <f t="shared" si="4"/>
        <v>#REF!</v>
      </c>
    </row>
    <row r="126" spans="1:8" ht="51">
      <c r="A126" s="78" t="s">
        <v>11</v>
      </c>
      <c r="B126" s="153"/>
      <c r="C126" s="43" t="s">
        <v>10</v>
      </c>
      <c r="D126" s="43" t="s">
        <v>12</v>
      </c>
      <c r="E126" s="43"/>
      <c r="F126" s="43"/>
      <c r="G126" s="84" t="e">
        <f>G129</f>
        <v>#REF!</v>
      </c>
      <c r="H126" s="44" t="e">
        <f t="shared" si="4"/>
        <v>#REF!</v>
      </c>
    </row>
    <row r="127" spans="1:8" ht="63.75">
      <c r="A127" s="78" t="s">
        <v>109</v>
      </c>
      <c r="B127" s="153"/>
      <c r="C127" s="43" t="s">
        <v>10</v>
      </c>
      <c r="D127" s="43" t="s">
        <v>12</v>
      </c>
      <c r="E127" s="43" t="s">
        <v>14</v>
      </c>
      <c r="F127" s="43"/>
      <c r="G127" s="84" t="e">
        <f>G128</f>
        <v>#REF!</v>
      </c>
      <c r="H127" s="44" t="e">
        <f t="shared" si="4"/>
        <v>#REF!</v>
      </c>
    </row>
    <row r="128" spans="1:8">
      <c r="A128" s="78" t="s">
        <v>15</v>
      </c>
      <c r="B128" s="153"/>
      <c r="C128" s="43" t="s">
        <v>10</v>
      </c>
      <c r="D128" s="43" t="s">
        <v>12</v>
      </c>
      <c r="E128" s="43" t="s">
        <v>16</v>
      </c>
      <c r="F128" s="43"/>
      <c r="G128" s="84" t="e">
        <f>G129</f>
        <v>#REF!</v>
      </c>
      <c r="H128" s="44" t="e">
        <f t="shared" si="4"/>
        <v>#REF!</v>
      </c>
    </row>
    <row r="129" spans="1:8">
      <c r="A129" s="78" t="s">
        <v>15</v>
      </c>
      <c r="B129" s="108"/>
      <c r="C129" s="43" t="s">
        <v>10</v>
      </c>
      <c r="D129" s="43" t="s">
        <v>12</v>
      </c>
      <c r="E129" s="43" t="s">
        <v>17</v>
      </c>
      <c r="F129" s="43"/>
      <c r="G129" s="84" t="e">
        <f>G130+G131+G132+G133</f>
        <v>#REF!</v>
      </c>
      <c r="H129" s="44" t="e">
        <f t="shared" si="4"/>
        <v>#REF!</v>
      </c>
    </row>
    <row r="130" spans="1:8" ht="25.5">
      <c r="A130" s="78" t="s">
        <v>169</v>
      </c>
      <c r="B130" s="153"/>
      <c r="C130" s="43" t="s">
        <v>10</v>
      </c>
      <c r="D130" s="43" t="s">
        <v>12</v>
      </c>
      <c r="E130" s="43" t="s">
        <v>17</v>
      </c>
      <c r="F130" s="43" t="s">
        <v>167</v>
      </c>
      <c r="G130" s="84">
        <f>прил.4!H197*105.5%</f>
        <v>6497.0064999999995</v>
      </c>
      <c r="H130" s="44">
        <f>G130*105.5%</f>
        <v>6854.3418574999987</v>
      </c>
    </row>
    <row r="131" spans="1:8" ht="31.5" customHeight="1">
      <c r="A131" s="78" t="s">
        <v>207</v>
      </c>
      <c r="B131" s="153"/>
      <c r="C131" s="43" t="s">
        <v>10</v>
      </c>
      <c r="D131" s="43" t="s">
        <v>12</v>
      </c>
      <c r="E131" s="43" t="s">
        <v>17</v>
      </c>
      <c r="F131" s="43" t="s">
        <v>168</v>
      </c>
      <c r="G131" s="84">
        <f>прил.4!H198*105.5%</f>
        <v>837.45899999999995</v>
      </c>
      <c r="H131" s="44">
        <f>G131*105.5%</f>
        <v>883.51924499999984</v>
      </c>
    </row>
    <row r="132" spans="1:8" ht="31.5" customHeight="1">
      <c r="A132" s="78" t="s">
        <v>264</v>
      </c>
      <c r="B132" s="153"/>
      <c r="C132" s="43" t="s">
        <v>10</v>
      </c>
      <c r="D132" s="43" t="s">
        <v>12</v>
      </c>
      <c r="E132" s="43" t="s">
        <v>17</v>
      </c>
      <c r="F132" s="43" t="s">
        <v>189</v>
      </c>
      <c r="G132" s="84">
        <f>прил.4!H199*105.5%</f>
        <v>15.824999999999999</v>
      </c>
      <c r="H132" s="44">
        <f>G132*105.5%</f>
        <v>16.695374999999999</v>
      </c>
    </row>
    <row r="133" spans="1:8" ht="31.5" customHeight="1">
      <c r="A133" s="78" t="s">
        <v>206</v>
      </c>
      <c r="B133" s="153"/>
      <c r="C133" s="43" t="s">
        <v>10</v>
      </c>
      <c r="D133" s="43" t="s">
        <v>12</v>
      </c>
      <c r="E133" s="43" t="s">
        <v>17</v>
      </c>
      <c r="F133" s="43" t="s">
        <v>192</v>
      </c>
      <c r="G133" s="84" t="e">
        <f>прил.4!#REF!*105.5%</f>
        <v>#REF!</v>
      </c>
      <c r="H133" s="44" t="e">
        <f>G133*105.5%</f>
        <v>#REF!</v>
      </c>
    </row>
    <row r="134" spans="1:8" ht="25.5" hidden="1">
      <c r="A134" s="48" t="s">
        <v>129</v>
      </c>
      <c r="B134" s="153"/>
      <c r="C134" s="43" t="s">
        <v>10</v>
      </c>
      <c r="D134" s="43" t="s">
        <v>64</v>
      </c>
      <c r="E134" s="43"/>
      <c r="F134" s="43"/>
      <c r="G134" s="84">
        <f>G135</f>
        <v>0</v>
      </c>
      <c r="H134" s="44">
        <f t="shared" ref="H134:H143" si="5">G134*105%</f>
        <v>0</v>
      </c>
    </row>
    <row r="135" spans="1:8" hidden="1">
      <c r="A135" s="78" t="s">
        <v>145</v>
      </c>
      <c r="B135" s="153"/>
      <c r="C135" s="43" t="s">
        <v>10</v>
      </c>
      <c r="D135" s="43" t="s">
        <v>64</v>
      </c>
      <c r="E135" s="43" t="s">
        <v>146</v>
      </c>
      <c r="F135" s="77"/>
      <c r="G135" s="84">
        <f>G136</f>
        <v>0</v>
      </c>
      <c r="H135" s="44">
        <f t="shared" si="5"/>
        <v>0</v>
      </c>
    </row>
    <row r="136" spans="1:8" hidden="1">
      <c r="A136" s="78" t="s">
        <v>145</v>
      </c>
      <c r="B136" s="153"/>
      <c r="C136" s="43" t="s">
        <v>10</v>
      </c>
      <c r="D136" s="43" t="s">
        <v>64</v>
      </c>
      <c r="E136" s="43" t="s">
        <v>147</v>
      </c>
      <c r="F136" s="77"/>
      <c r="G136" s="84">
        <f>G137</f>
        <v>0</v>
      </c>
      <c r="H136" s="44">
        <f t="shared" si="5"/>
        <v>0</v>
      </c>
    </row>
    <row r="137" spans="1:8" hidden="1">
      <c r="A137" s="78" t="s">
        <v>145</v>
      </c>
      <c r="B137" s="153"/>
      <c r="C137" s="43" t="s">
        <v>10</v>
      </c>
      <c r="D137" s="43" t="s">
        <v>64</v>
      </c>
      <c r="E137" s="43" t="s">
        <v>147</v>
      </c>
      <c r="F137" s="43"/>
      <c r="G137" s="84">
        <f>G138</f>
        <v>0</v>
      </c>
      <c r="H137" s="44">
        <f t="shared" si="5"/>
        <v>0</v>
      </c>
    </row>
    <row r="138" spans="1:8" ht="25.5" hidden="1">
      <c r="A138" s="48" t="s">
        <v>178</v>
      </c>
      <c r="B138" s="153"/>
      <c r="C138" s="43" t="s">
        <v>10</v>
      </c>
      <c r="D138" s="43" t="s">
        <v>64</v>
      </c>
      <c r="E138" s="43" t="s">
        <v>147</v>
      </c>
      <c r="F138" s="43" t="s">
        <v>179</v>
      </c>
      <c r="G138" s="84">
        <v>0</v>
      </c>
      <c r="H138" s="44">
        <f t="shared" si="5"/>
        <v>0</v>
      </c>
    </row>
    <row r="139" spans="1:8" s="24" customFormat="1" ht="25.5">
      <c r="A139" s="76" t="s">
        <v>451</v>
      </c>
      <c r="B139" s="108">
        <v>832</v>
      </c>
      <c r="C139" s="77"/>
      <c r="D139" s="77"/>
      <c r="E139" s="77"/>
      <c r="F139" s="77"/>
      <c r="G139" s="85" t="e">
        <f>G140</f>
        <v>#REF!</v>
      </c>
      <c r="H139" s="74" t="e">
        <f t="shared" si="5"/>
        <v>#REF!</v>
      </c>
    </row>
    <row r="140" spans="1:8" ht="17.25" customHeight="1">
      <c r="A140" s="48" t="s">
        <v>9</v>
      </c>
      <c r="B140" s="153"/>
      <c r="C140" s="43" t="s">
        <v>10</v>
      </c>
      <c r="D140" s="154"/>
      <c r="E140" s="154"/>
      <c r="F140" s="154"/>
      <c r="G140" s="84" t="e">
        <f>G141</f>
        <v>#REF!</v>
      </c>
      <c r="H140" s="44" t="e">
        <f t="shared" si="5"/>
        <v>#REF!</v>
      </c>
    </row>
    <row r="141" spans="1:8" ht="22.5" customHeight="1">
      <c r="A141" s="78" t="s">
        <v>28</v>
      </c>
      <c r="B141" s="153"/>
      <c r="C141" s="79" t="s">
        <v>10</v>
      </c>
      <c r="D141" s="43" t="s">
        <v>154</v>
      </c>
      <c r="E141" s="43"/>
      <c r="F141" s="43"/>
      <c r="G141" s="84" t="e">
        <f>G142</f>
        <v>#REF!</v>
      </c>
      <c r="H141" s="44" t="e">
        <f t="shared" si="5"/>
        <v>#REF!</v>
      </c>
    </row>
    <row r="142" spans="1:8" ht="63.75">
      <c r="A142" s="78" t="s">
        <v>109</v>
      </c>
      <c r="B142" s="153"/>
      <c r="C142" s="79" t="s">
        <v>10</v>
      </c>
      <c r="D142" s="43" t="s">
        <v>154</v>
      </c>
      <c r="E142" s="43" t="s">
        <v>14</v>
      </c>
      <c r="F142" s="43"/>
      <c r="G142" s="84" t="e">
        <f>G143</f>
        <v>#REF!</v>
      </c>
      <c r="H142" s="44" t="e">
        <f t="shared" si="5"/>
        <v>#REF!</v>
      </c>
    </row>
    <row r="143" spans="1:8">
      <c r="A143" s="78" t="s">
        <v>15</v>
      </c>
      <c r="B143" s="153"/>
      <c r="C143" s="79" t="s">
        <v>10</v>
      </c>
      <c r="D143" s="43" t="s">
        <v>154</v>
      </c>
      <c r="E143" s="43" t="s">
        <v>16</v>
      </c>
      <c r="F143" s="43"/>
      <c r="G143" s="84" t="e">
        <f>G144</f>
        <v>#REF!</v>
      </c>
      <c r="H143" s="44" t="e">
        <f t="shared" si="5"/>
        <v>#REF!</v>
      </c>
    </row>
    <row r="144" spans="1:8">
      <c r="A144" s="48" t="s">
        <v>15</v>
      </c>
      <c r="B144" s="153"/>
      <c r="C144" s="79" t="s">
        <v>10</v>
      </c>
      <c r="D144" s="43" t="s">
        <v>154</v>
      </c>
      <c r="E144" s="43" t="s">
        <v>17</v>
      </c>
      <c r="F144" s="43"/>
      <c r="G144" s="84" t="e">
        <f>G145+G146+G147</f>
        <v>#REF!</v>
      </c>
      <c r="H144" s="84" t="e">
        <f>H145+H146+H147</f>
        <v>#REF!</v>
      </c>
    </row>
    <row r="145" spans="1:11" ht="25.5">
      <c r="A145" s="78" t="s">
        <v>169</v>
      </c>
      <c r="B145" s="153"/>
      <c r="C145" s="79" t="s">
        <v>10</v>
      </c>
      <c r="D145" s="43" t="s">
        <v>154</v>
      </c>
      <c r="E145" s="43" t="s">
        <v>17</v>
      </c>
      <c r="F145" s="43" t="s">
        <v>171</v>
      </c>
      <c r="G145" s="84" t="e">
        <f>прил.4!#REF!*105.5%</f>
        <v>#REF!</v>
      </c>
      <c r="H145" s="44" t="e">
        <f>G145*105.5%</f>
        <v>#REF!</v>
      </c>
    </row>
    <row r="146" spans="1:11" ht="38.25">
      <c r="A146" s="78" t="s">
        <v>170</v>
      </c>
      <c r="B146" s="153"/>
      <c r="C146" s="79" t="s">
        <v>10</v>
      </c>
      <c r="D146" s="43" t="s">
        <v>154</v>
      </c>
      <c r="E146" s="43" t="s">
        <v>17</v>
      </c>
      <c r="F146" s="43" t="s">
        <v>168</v>
      </c>
      <c r="G146" s="84" t="e">
        <f>прил.4!#REF!*105.5%</f>
        <v>#REF!</v>
      </c>
      <c r="H146" s="44" t="e">
        <f>G146*105.5%</f>
        <v>#REF!</v>
      </c>
    </row>
    <row r="147" spans="1:11" ht="25.5">
      <c r="A147" s="78" t="s">
        <v>264</v>
      </c>
      <c r="B147" s="153"/>
      <c r="C147" s="79" t="s">
        <v>10</v>
      </c>
      <c r="D147" s="43" t="s">
        <v>154</v>
      </c>
      <c r="E147" s="43" t="s">
        <v>17</v>
      </c>
      <c r="F147" s="43" t="s">
        <v>189</v>
      </c>
      <c r="G147" s="84" t="e">
        <f>прил.4!#REF!*105.5%</f>
        <v>#REF!</v>
      </c>
      <c r="H147" s="44" t="e">
        <f>G147*105.5%</f>
        <v>#REF!</v>
      </c>
    </row>
    <row r="148" spans="1:11" ht="38.25">
      <c r="A148" s="102" t="s">
        <v>379</v>
      </c>
      <c r="B148" s="108">
        <v>857</v>
      </c>
      <c r="C148" s="77"/>
      <c r="D148" s="77"/>
      <c r="E148" s="77"/>
      <c r="F148" s="77"/>
      <c r="G148" s="85" t="e">
        <f>G149+G158+G184</f>
        <v>#REF!</v>
      </c>
      <c r="H148" s="85" t="e">
        <f>H149+H158+H184</f>
        <v>#REF!</v>
      </c>
    </row>
    <row r="149" spans="1:11">
      <c r="A149" s="78" t="s">
        <v>63</v>
      </c>
      <c r="B149" s="153"/>
      <c r="C149" s="43" t="s">
        <v>64</v>
      </c>
      <c r="D149" s="43"/>
      <c r="E149" s="43"/>
      <c r="F149" s="43"/>
      <c r="G149" s="84" t="e">
        <f>G150</f>
        <v>#REF!</v>
      </c>
      <c r="H149" s="44" t="e">
        <f>G149*105%</f>
        <v>#REF!</v>
      </c>
    </row>
    <row r="150" spans="1:11">
      <c r="A150" s="78" t="s">
        <v>65</v>
      </c>
      <c r="B150" s="153"/>
      <c r="C150" s="43" t="s">
        <v>116</v>
      </c>
      <c r="D150" s="43" t="s">
        <v>50</v>
      </c>
      <c r="E150" s="43"/>
      <c r="F150" s="43"/>
      <c r="G150" s="84" t="e">
        <f>G151</f>
        <v>#REF!</v>
      </c>
      <c r="H150" s="44" t="e">
        <f>G150*105%</f>
        <v>#REF!</v>
      </c>
    </row>
    <row r="151" spans="1:11" ht="25.5">
      <c r="A151" s="78" t="s">
        <v>70</v>
      </c>
      <c r="B151" s="153"/>
      <c r="C151" s="43" t="s">
        <v>64</v>
      </c>
      <c r="D151" s="43" t="s">
        <v>50</v>
      </c>
      <c r="E151" s="43" t="s">
        <v>71</v>
      </c>
      <c r="F151" s="43"/>
      <c r="G151" s="84" t="e">
        <f>G152</f>
        <v>#REF!</v>
      </c>
      <c r="H151" s="44" t="e">
        <f>G151*105%</f>
        <v>#REF!</v>
      </c>
    </row>
    <row r="152" spans="1:11" ht="25.5">
      <c r="A152" s="78" t="s">
        <v>117</v>
      </c>
      <c r="B152" s="153"/>
      <c r="C152" s="43" t="s">
        <v>64</v>
      </c>
      <c r="D152" s="43" t="s">
        <v>50</v>
      </c>
      <c r="E152" s="43" t="s">
        <v>72</v>
      </c>
      <c r="F152" s="43"/>
      <c r="G152" s="84" t="e">
        <f>G153+G154+G155+G156+G157</f>
        <v>#REF!</v>
      </c>
      <c r="H152" s="84" t="e">
        <f>H153+H154+H155+H156+H157</f>
        <v>#REF!</v>
      </c>
    </row>
    <row r="153" spans="1:11" ht="21.75" customHeight="1">
      <c r="A153" s="78" t="s">
        <v>366</v>
      </c>
      <c r="B153" s="153"/>
      <c r="C153" s="43" t="s">
        <v>64</v>
      </c>
      <c r="D153" s="43" t="s">
        <v>50</v>
      </c>
      <c r="E153" s="43" t="s">
        <v>72</v>
      </c>
      <c r="F153" s="43" t="s">
        <v>171</v>
      </c>
      <c r="G153" s="84">
        <f>прил.4!H214*105.5%</f>
        <v>107758.54399999999</v>
      </c>
      <c r="H153" s="44">
        <f>G153*105.5%</f>
        <v>113685.26391999998</v>
      </c>
    </row>
    <row r="154" spans="1:11" ht="27" customHeight="1">
      <c r="A154" s="78" t="s">
        <v>365</v>
      </c>
      <c r="B154" s="153"/>
      <c r="C154" s="43" t="s">
        <v>64</v>
      </c>
      <c r="D154" s="43" t="s">
        <v>50</v>
      </c>
      <c r="E154" s="43" t="s">
        <v>72</v>
      </c>
      <c r="F154" s="43" t="s">
        <v>220</v>
      </c>
      <c r="G154" s="84" t="e">
        <f>прил.4!#REF!*105.5%</f>
        <v>#REF!</v>
      </c>
      <c r="H154" s="44" t="e">
        <f>G154*105.5%</f>
        <v>#REF!</v>
      </c>
    </row>
    <row r="155" spans="1:11" ht="31.5" customHeight="1">
      <c r="A155" s="78" t="s">
        <v>170</v>
      </c>
      <c r="B155" s="153"/>
      <c r="C155" s="43" t="s">
        <v>64</v>
      </c>
      <c r="D155" s="43" t="s">
        <v>50</v>
      </c>
      <c r="E155" s="43" t="s">
        <v>72</v>
      </c>
      <c r="F155" s="43" t="s">
        <v>168</v>
      </c>
      <c r="G155" s="84">
        <f>прил.4!H215*105.5%</f>
        <v>4002.8809999999994</v>
      </c>
      <c r="H155" s="44">
        <f>G155*105.5%</f>
        <v>4223.0394549999992</v>
      </c>
    </row>
    <row r="156" spans="1:11" ht="31.5" customHeight="1">
      <c r="A156" s="78" t="s">
        <v>264</v>
      </c>
      <c r="B156" s="153"/>
      <c r="C156" s="43" t="s">
        <v>64</v>
      </c>
      <c r="D156" s="43" t="s">
        <v>50</v>
      </c>
      <c r="E156" s="43" t="s">
        <v>72</v>
      </c>
      <c r="F156" s="43" t="s">
        <v>189</v>
      </c>
      <c r="G156" s="84">
        <f>прил.4!H216*105.5%</f>
        <v>401.00549999999998</v>
      </c>
      <c r="H156" s="44">
        <f>G156*105.5%</f>
        <v>423.06080249999997</v>
      </c>
    </row>
    <row r="157" spans="1:11" ht="31.5" customHeight="1">
      <c r="A157" s="78" t="s">
        <v>206</v>
      </c>
      <c r="B157" s="153"/>
      <c r="C157" s="43" t="s">
        <v>64</v>
      </c>
      <c r="D157" s="43" t="s">
        <v>50</v>
      </c>
      <c r="E157" s="43" t="s">
        <v>72</v>
      </c>
      <c r="F157" s="43" t="s">
        <v>192</v>
      </c>
      <c r="G157" s="84" t="e">
        <f>прил.4!#REF!*105.5%</f>
        <v>#REF!</v>
      </c>
      <c r="H157" s="44" t="e">
        <f>G157*105.5%</f>
        <v>#REF!</v>
      </c>
    </row>
    <row r="158" spans="1:11" ht="17.25" customHeight="1">
      <c r="A158" s="78" t="s">
        <v>143</v>
      </c>
      <c r="B158" s="153"/>
      <c r="C158" s="43" t="s">
        <v>81</v>
      </c>
      <c r="D158" s="43"/>
      <c r="E158" s="100"/>
      <c r="F158" s="43"/>
      <c r="G158" s="84" t="e">
        <f>G159+G177</f>
        <v>#REF!</v>
      </c>
      <c r="H158" s="84" t="e">
        <f>H159+H177</f>
        <v>#REF!</v>
      </c>
    </row>
    <row r="159" spans="1:11" ht="15" customHeight="1">
      <c r="A159" s="78" t="s">
        <v>82</v>
      </c>
      <c r="B159" s="153"/>
      <c r="C159" s="43" t="s">
        <v>81</v>
      </c>
      <c r="D159" s="43" t="s">
        <v>10</v>
      </c>
      <c r="E159" s="100"/>
      <c r="F159" s="43"/>
      <c r="G159" s="84" t="e">
        <f>G160+G164+G172+G162</f>
        <v>#REF!</v>
      </c>
      <c r="H159" s="84" t="e">
        <f>H160+H164+H172+H162</f>
        <v>#REF!</v>
      </c>
    </row>
    <row r="160" spans="1:11" s="47" customFormat="1" ht="38.25">
      <c r="A160" s="109" t="s">
        <v>182</v>
      </c>
      <c r="B160" s="153"/>
      <c r="C160" s="43" t="s">
        <v>81</v>
      </c>
      <c r="D160" s="43" t="s">
        <v>10</v>
      </c>
      <c r="E160" s="43" t="s">
        <v>153</v>
      </c>
      <c r="F160" s="43"/>
      <c r="G160" s="84">
        <f>G161</f>
        <v>5500</v>
      </c>
      <c r="H160" s="44">
        <f>H161</f>
        <v>0</v>
      </c>
      <c r="I160" s="111"/>
      <c r="J160" s="111"/>
      <c r="K160" s="111"/>
    </row>
    <row r="161" spans="1:8" ht="25.5">
      <c r="A161" s="78" t="s">
        <v>273</v>
      </c>
      <c r="B161" s="153"/>
      <c r="C161" s="43" t="s">
        <v>81</v>
      </c>
      <c r="D161" s="43" t="s">
        <v>10</v>
      </c>
      <c r="E161" s="43" t="s">
        <v>153</v>
      </c>
      <c r="F161" s="43" t="s">
        <v>168</v>
      </c>
      <c r="G161" s="44">
        <v>5500</v>
      </c>
      <c r="H161" s="44">
        <v>0</v>
      </c>
    </row>
    <row r="162" spans="1:8" ht="63.75" hidden="1" customHeight="1">
      <c r="A162" s="78" t="s">
        <v>231</v>
      </c>
      <c r="B162" s="153"/>
      <c r="C162" s="43" t="s">
        <v>81</v>
      </c>
      <c r="D162" s="43" t="s">
        <v>10</v>
      </c>
      <c r="E162" s="43" t="s">
        <v>230</v>
      </c>
      <c r="F162" s="43"/>
      <c r="G162" s="44">
        <f>G163</f>
        <v>0</v>
      </c>
      <c r="H162" s="44">
        <f>H163</f>
        <v>0</v>
      </c>
    </row>
    <row r="163" spans="1:8" ht="25.5" hidden="1">
      <c r="A163" s="78" t="s">
        <v>273</v>
      </c>
      <c r="B163" s="153"/>
      <c r="C163" s="43" t="s">
        <v>81</v>
      </c>
      <c r="D163" s="43" t="s">
        <v>10</v>
      </c>
      <c r="E163" s="43" t="s">
        <v>230</v>
      </c>
      <c r="F163" s="43" t="s">
        <v>168</v>
      </c>
      <c r="G163" s="44"/>
      <c r="H163" s="44"/>
    </row>
    <row r="164" spans="1:8" ht="25.5">
      <c r="A164" s="78" t="s">
        <v>36</v>
      </c>
      <c r="B164" s="153"/>
      <c r="C164" s="43" t="s">
        <v>81</v>
      </c>
      <c r="D164" s="43" t="s">
        <v>10</v>
      </c>
      <c r="E164" s="43" t="s">
        <v>83</v>
      </c>
      <c r="F164" s="43"/>
      <c r="G164" s="84" t="e">
        <f>G165</f>
        <v>#REF!</v>
      </c>
      <c r="H164" s="44" t="e">
        <f>G164*105%</f>
        <v>#REF!</v>
      </c>
    </row>
    <row r="165" spans="1:8" ht="25.5">
      <c r="A165" s="78" t="s">
        <v>36</v>
      </c>
      <c r="B165" s="153"/>
      <c r="C165" s="43" t="s">
        <v>81</v>
      </c>
      <c r="D165" s="43" t="s">
        <v>10</v>
      </c>
      <c r="E165" s="43" t="s">
        <v>83</v>
      </c>
      <c r="F165" s="43"/>
      <c r="G165" s="84" t="e">
        <f>G166+G167+G168+G169+G170+G171</f>
        <v>#REF!</v>
      </c>
      <c r="H165" s="84" t="e">
        <f>H166+H167+H168+H169+H170+H171</f>
        <v>#REF!</v>
      </c>
    </row>
    <row r="166" spans="1:8" ht="18" customHeight="1">
      <c r="A166" s="78" t="s">
        <v>209</v>
      </c>
      <c r="B166" s="153"/>
      <c r="C166" s="43" t="s">
        <v>81</v>
      </c>
      <c r="D166" s="43" t="s">
        <v>10</v>
      </c>
      <c r="E166" s="43" t="s">
        <v>83</v>
      </c>
      <c r="F166" s="43" t="s">
        <v>171</v>
      </c>
      <c r="G166" s="84">
        <f>прил.4!H234*105.5%</f>
        <v>28553.152999999998</v>
      </c>
      <c r="H166" s="44">
        <f>G166*105.5%</f>
        <v>30123.576414999996</v>
      </c>
    </row>
    <row r="167" spans="1:8" ht="29.25" customHeight="1">
      <c r="A167" s="78" t="s">
        <v>365</v>
      </c>
      <c r="B167" s="153"/>
      <c r="C167" s="43" t="s">
        <v>81</v>
      </c>
      <c r="D167" s="43" t="s">
        <v>10</v>
      </c>
      <c r="E167" s="43" t="s">
        <v>83</v>
      </c>
      <c r="F167" s="43" t="s">
        <v>220</v>
      </c>
      <c r="G167" s="84" t="e">
        <f>прил.4!#REF!*105.5%</f>
        <v>#REF!</v>
      </c>
      <c r="H167" s="44" t="e">
        <f>G167*105.5%</f>
        <v>#REF!</v>
      </c>
    </row>
    <row r="168" spans="1:8" ht="25.5">
      <c r="A168" s="78" t="s">
        <v>273</v>
      </c>
      <c r="B168" s="153"/>
      <c r="C168" s="43" t="s">
        <v>81</v>
      </c>
      <c r="D168" s="43" t="s">
        <v>10</v>
      </c>
      <c r="E168" s="43" t="s">
        <v>83</v>
      </c>
      <c r="F168" s="43" t="s">
        <v>168</v>
      </c>
      <c r="G168" s="84">
        <f>прил.4!H235*105.5%</f>
        <v>2818.8544999999995</v>
      </c>
      <c r="H168" s="44">
        <f>G168*105.5%</f>
        <v>2973.8914974999993</v>
      </c>
    </row>
    <row r="169" spans="1:8" ht="51">
      <c r="A169" s="78" t="s">
        <v>274</v>
      </c>
      <c r="B169" s="153"/>
      <c r="C169" s="43" t="s">
        <v>81</v>
      </c>
      <c r="D169" s="43" t="s">
        <v>10</v>
      </c>
      <c r="E169" s="43" t="s">
        <v>83</v>
      </c>
      <c r="F169" s="43" t="s">
        <v>183</v>
      </c>
      <c r="G169" s="84">
        <v>62624.800000000003</v>
      </c>
      <c r="H169" s="44">
        <v>66069.2</v>
      </c>
    </row>
    <row r="170" spans="1:8" ht="106.5" customHeight="1">
      <c r="A170" s="78" t="s">
        <v>367</v>
      </c>
      <c r="B170" s="153"/>
      <c r="C170" s="43" t="s">
        <v>81</v>
      </c>
      <c r="D170" s="43" t="s">
        <v>10</v>
      </c>
      <c r="E170" s="43" t="s">
        <v>83</v>
      </c>
      <c r="F170" s="43" t="s">
        <v>217</v>
      </c>
      <c r="G170" s="84" t="e">
        <f>прил.4!#REF!*105.5%</f>
        <v>#REF!</v>
      </c>
      <c r="H170" s="44" t="e">
        <f>G170*105.5%</f>
        <v>#REF!</v>
      </c>
    </row>
    <row r="171" spans="1:8" ht="25.5">
      <c r="A171" s="78" t="s">
        <v>264</v>
      </c>
      <c r="B171" s="153"/>
      <c r="C171" s="43" t="s">
        <v>81</v>
      </c>
      <c r="D171" s="43" t="s">
        <v>10</v>
      </c>
      <c r="E171" s="43" t="s">
        <v>83</v>
      </c>
      <c r="F171" s="43" t="s">
        <v>189</v>
      </c>
      <c r="G171" s="84">
        <f>прил.4!H236*105.5%</f>
        <v>2242.4024999999997</v>
      </c>
      <c r="H171" s="44">
        <f>G171*105.5%</f>
        <v>2365.7346374999997</v>
      </c>
    </row>
    <row r="172" spans="1:8" ht="19.5" customHeight="1">
      <c r="A172" s="78" t="s">
        <v>84</v>
      </c>
      <c r="B172" s="153"/>
      <c r="C172" s="43" t="s">
        <v>81</v>
      </c>
      <c r="D172" s="43" t="s">
        <v>10</v>
      </c>
      <c r="E172" s="43" t="s">
        <v>85</v>
      </c>
      <c r="F172" s="43"/>
      <c r="G172" s="84" t="e">
        <f>G174</f>
        <v>#REF!</v>
      </c>
      <c r="H172" s="44" t="e">
        <f>G172*105%</f>
        <v>#REF!</v>
      </c>
    </row>
    <row r="173" spans="1:8" ht="25.5">
      <c r="A173" s="78" t="s">
        <v>36</v>
      </c>
      <c r="B173" s="153"/>
      <c r="C173" s="43" t="s">
        <v>81</v>
      </c>
      <c r="D173" s="43" t="s">
        <v>10</v>
      </c>
      <c r="E173" s="43" t="s">
        <v>86</v>
      </c>
      <c r="F173" s="43"/>
      <c r="G173" s="84" t="e">
        <f>G174</f>
        <v>#REF!</v>
      </c>
      <c r="H173" s="44" t="e">
        <f>G173*105%</f>
        <v>#REF!</v>
      </c>
    </row>
    <row r="174" spans="1:8" ht="25.5">
      <c r="A174" s="78" t="s">
        <v>36</v>
      </c>
      <c r="B174" s="153"/>
      <c r="C174" s="43" t="s">
        <v>81</v>
      </c>
      <c r="D174" s="43" t="s">
        <v>10</v>
      </c>
      <c r="E174" s="43" t="s">
        <v>86</v>
      </c>
      <c r="F174" s="43"/>
      <c r="G174" s="84" t="e">
        <f>G175+G176</f>
        <v>#REF!</v>
      </c>
      <c r="H174" s="44" t="e">
        <f>G174*105%</f>
        <v>#REF!</v>
      </c>
    </row>
    <row r="175" spans="1:8" ht="25.5">
      <c r="A175" s="78" t="s">
        <v>169</v>
      </c>
      <c r="B175" s="153"/>
      <c r="C175" s="43" t="s">
        <v>81</v>
      </c>
      <c r="D175" s="43" t="s">
        <v>10</v>
      </c>
      <c r="E175" s="43" t="s">
        <v>86</v>
      </c>
      <c r="F175" s="43" t="s">
        <v>171</v>
      </c>
      <c r="G175" s="84" t="e">
        <f>прил.4!#REF!*105.5%</f>
        <v>#REF!</v>
      </c>
      <c r="H175" s="44" t="e">
        <f>G175*105.5%</f>
        <v>#REF!</v>
      </c>
    </row>
    <row r="176" spans="1:8" ht="38.25">
      <c r="A176" s="78" t="s">
        <v>170</v>
      </c>
      <c r="B176" s="153"/>
      <c r="C176" s="43" t="s">
        <v>81</v>
      </c>
      <c r="D176" s="43" t="s">
        <v>10</v>
      </c>
      <c r="E176" s="43" t="s">
        <v>86</v>
      </c>
      <c r="F176" s="43" t="s">
        <v>168</v>
      </c>
      <c r="G176" s="84" t="e">
        <f>прил.4!#REF!*105.5%</f>
        <v>#REF!</v>
      </c>
      <c r="H176" s="44" t="e">
        <f>G176*105.5%</f>
        <v>#REF!</v>
      </c>
    </row>
    <row r="177" spans="1:8" ht="25.5">
      <c r="A177" s="78" t="s">
        <v>140</v>
      </c>
      <c r="B177" s="153"/>
      <c r="C177" s="43" t="s">
        <v>81</v>
      </c>
      <c r="D177" s="43" t="s">
        <v>19</v>
      </c>
      <c r="E177" s="43"/>
      <c r="F177" s="43"/>
      <c r="G177" s="84" t="e">
        <f>G178</f>
        <v>#REF!</v>
      </c>
      <c r="H177" s="44" t="e">
        <f>G177*105%</f>
        <v>#REF!</v>
      </c>
    </row>
    <row r="178" spans="1:8" ht="76.5">
      <c r="A178" s="78" t="s">
        <v>95</v>
      </c>
      <c r="B178" s="153"/>
      <c r="C178" s="43" t="s">
        <v>81</v>
      </c>
      <c r="D178" s="43" t="s">
        <v>19</v>
      </c>
      <c r="E178" s="43" t="s">
        <v>78</v>
      </c>
      <c r="F178" s="43"/>
      <c r="G178" s="84" t="e">
        <f>G180</f>
        <v>#REF!</v>
      </c>
      <c r="H178" s="44" t="e">
        <f>G178*105%</f>
        <v>#REF!</v>
      </c>
    </row>
    <row r="179" spans="1:8" ht="25.5">
      <c r="A179" s="78" t="s">
        <v>36</v>
      </c>
      <c r="B179" s="108"/>
      <c r="C179" s="43" t="s">
        <v>81</v>
      </c>
      <c r="D179" s="43" t="s">
        <v>19</v>
      </c>
      <c r="E179" s="43" t="s">
        <v>79</v>
      </c>
      <c r="F179" s="43"/>
      <c r="G179" s="84"/>
      <c r="H179" s="44">
        <f>G179*105%</f>
        <v>0</v>
      </c>
    </row>
    <row r="180" spans="1:8" ht="25.5">
      <c r="A180" s="78" t="s">
        <v>36</v>
      </c>
      <c r="B180" s="108"/>
      <c r="C180" s="43" t="s">
        <v>81</v>
      </c>
      <c r="D180" s="43" t="s">
        <v>19</v>
      </c>
      <c r="E180" s="43" t="s">
        <v>79</v>
      </c>
      <c r="F180" s="43"/>
      <c r="G180" s="84" t="e">
        <f>G181+G182+G183</f>
        <v>#REF!</v>
      </c>
      <c r="H180" s="44" t="e">
        <f>G180*105.5%</f>
        <v>#REF!</v>
      </c>
    </row>
    <row r="181" spans="1:8" ht="25.5">
      <c r="A181" s="78" t="s">
        <v>169</v>
      </c>
      <c r="B181" s="153"/>
      <c r="C181" s="43" t="s">
        <v>81</v>
      </c>
      <c r="D181" s="43" t="s">
        <v>19</v>
      </c>
      <c r="E181" s="43" t="s">
        <v>79</v>
      </c>
      <c r="F181" s="43" t="s">
        <v>171</v>
      </c>
      <c r="G181" s="84">
        <f>прил.4!H245*105.5%</f>
        <v>5379.1284999999998</v>
      </c>
      <c r="H181" s="44">
        <f t="shared" ref="H181:H186" si="6">G181*105%</f>
        <v>5648.0849250000001</v>
      </c>
    </row>
    <row r="182" spans="1:8" ht="38.25">
      <c r="A182" s="78" t="s">
        <v>170</v>
      </c>
      <c r="B182" s="153"/>
      <c r="C182" s="43" t="s">
        <v>81</v>
      </c>
      <c r="D182" s="43" t="s">
        <v>19</v>
      </c>
      <c r="E182" s="43" t="s">
        <v>79</v>
      </c>
      <c r="F182" s="43" t="s">
        <v>168</v>
      </c>
      <c r="G182" s="84">
        <f>прил.4!H246*105.5%</f>
        <v>741.98149999999987</v>
      </c>
      <c r="H182" s="44">
        <f t="shared" si="6"/>
        <v>779.08057499999984</v>
      </c>
    </row>
    <row r="183" spans="1:8" ht="25.5">
      <c r="A183" s="78" t="s">
        <v>206</v>
      </c>
      <c r="B183" s="153"/>
      <c r="C183" s="43" t="s">
        <v>81</v>
      </c>
      <c r="D183" s="43" t="s">
        <v>19</v>
      </c>
      <c r="E183" s="43" t="s">
        <v>79</v>
      </c>
      <c r="F183" s="43" t="s">
        <v>192</v>
      </c>
      <c r="G183" s="84" t="e">
        <f>прил.4!#REF!*105.5%</f>
        <v>#REF!</v>
      </c>
      <c r="H183" s="44" t="e">
        <f t="shared" si="6"/>
        <v>#REF!</v>
      </c>
    </row>
    <row r="184" spans="1:8" ht="23.25" customHeight="1">
      <c r="A184" s="78" t="s">
        <v>135</v>
      </c>
      <c r="B184" s="153"/>
      <c r="C184" s="43" t="s">
        <v>24</v>
      </c>
      <c r="D184" s="43"/>
      <c r="E184" s="43"/>
      <c r="F184" s="43"/>
      <c r="G184" s="84">
        <f>G185</f>
        <v>7330.3510000000006</v>
      </c>
      <c r="H184" s="44">
        <f t="shared" si="6"/>
        <v>7696.8685500000011</v>
      </c>
    </row>
    <row r="185" spans="1:8" ht="26.25" customHeight="1">
      <c r="A185" s="78" t="s">
        <v>136</v>
      </c>
      <c r="B185" s="153"/>
      <c r="C185" s="43" t="s">
        <v>24</v>
      </c>
      <c r="D185" s="43" t="s">
        <v>50</v>
      </c>
      <c r="E185" s="43"/>
      <c r="F185" s="43"/>
      <c r="G185" s="84">
        <f>G186</f>
        <v>7330.3510000000006</v>
      </c>
      <c r="H185" s="44">
        <f t="shared" si="6"/>
        <v>7696.8685500000011</v>
      </c>
    </row>
    <row r="186" spans="1:8" ht="38.25">
      <c r="A186" s="78" t="s">
        <v>87</v>
      </c>
      <c r="B186" s="153"/>
      <c r="C186" s="43" t="s">
        <v>24</v>
      </c>
      <c r="D186" s="43" t="s">
        <v>50</v>
      </c>
      <c r="E186" s="43" t="s">
        <v>88</v>
      </c>
      <c r="F186" s="43"/>
      <c r="G186" s="84">
        <f>G187</f>
        <v>7330.3510000000006</v>
      </c>
      <c r="H186" s="44">
        <f t="shared" si="6"/>
        <v>7696.8685500000011</v>
      </c>
    </row>
    <row r="187" spans="1:8" ht="38.25">
      <c r="A187" s="48" t="s">
        <v>134</v>
      </c>
      <c r="B187" s="153"/>
      <c r="C187" s="43" t="s">
        <v>24</v>
      </c>
      <c r="D187" s="43" t="s">
        <v>50</v>
      </c>
      <c r="E187" s="43" t="s">
        <v>299</v>
      </c>
      <c r="F187" s="43"/>
      <c r="G187" s="84">
        <f>G188+G189+G190</f>
        <v>7330.3510000000006</v>
      </c>
      <c r="H187" s="84">
        <f>H188+H189+H190</f>
        <v>7733.5203049999991</v>
      </c>
    </row>
    <row r="188" spans="1:8" ht="25.5">
      <c r="A188" s="78" t="s">
        <v>169</v>
      </c>
      <c r="B188" s="153"/>
      <c r="C188" s="43" t="s">
        <v>24</v>
      </c>
      <c r="D188" s="43" t="s">
        <v>50</v>
      </c>
      <c r="E188" s="43" t="s">
        <v>299</v>
      </c>
      <c r="F188" s="43" t="s">
        <v>171</v>
      </c>
      <c r="G188" s="84">
        <f>прил.4!H251*105.5%</f>
        <v>4788.9615000000003</v>
      </c>
      <c r="H188" s="44">
        <f>G188*105.5%</f>
        <v>5052.3543824999997</v>
      </c>
    </row>
    <row r="189" spans="1:8" ht="38.25">
      <c r="A189" s="78" t="s">
        <v>170</v>
      </c>
      <c r="B189" s="153"/>
      <c r="C189" s="43" t="s">
        <v>24</v>
      </c>
      <c r="D189" s="43" t="s">
        <v>50</v>
      </c>
      <c r="E189" s="43" t="s">
        <v>299</v>
      </c>
      <c r="F189" s="43" t="s">
        <v>168</v>
      </c>
      <c r="G189" s="84">
        <f>прил.4!H252*105.5%</f>
        <v>2541.1785</v>
      </c>
      <c r="H189" s="44">
        <f>G189*105.5%</f>
        <v>2680.9433174999999</v>
      </c>
    </row>
    <row r="190" spans="1:8" ht="25.5">
      <c r="A190" s="78" t="s">
        <v>264</v>
      </c>
      <c r="B190" s="153"/>
      <c r="C190" s="43" t="s">
        <v>24</v>
      </c>
      <c r="D190" s="43" t="s">
        <v>50</v>
      </c>
      <c r="E190" s="43" t="s">
        <v>299</v>
      </c>
      <c r="F190" s="43" t="s">
        <v>189</v>
      </c>
      <c r="G190" s="84">
        <f>прил.4!H253*105.5%</f>
        <v>0.21099999999999999</v>
      </c>
      <c r="H190" s="44">
        <f>G190*105.5%</f>
        <v>0.22260499999999997</v>
      </c>
    </row>
    <row r="191" spans="1:8" ht="25.5" hidden="1">
      <c r="A191" s="78" t="s">
        <v>206</v>
      </c>
      <c r="B191" s="153"/>
      <c r="C191" s="43" t="s">
        <v>24</v>
      </c>
      <c r="D191" s="43" t="s">
        <v>50</v>
      </c>
      <c r="E191" s="43" t="s">
        <v>299</v>
      </c>
      <c r="F191" s="43" t="s">
        <v>192</v>
      </c>
      <c r="G191" s="84" t="e">
        <f>прил.4!#REF!*105.5%</f>
        <v>#REF!</v>
      </c>
      <c r="H191" s="44" t="e">
        <f>G191*105.5%</f>
        <v>#REF!</v>
      </c>
    </row>
    <row r="192" spans="1:8" ht="76.5">
      <c r="A192" s="102" t="s">
        <v>452</v>
      </c>
      <c r="B192" s="108">
        <v>866</v>
      </c>
      <c r="C192" s="77"/>
      <c r="D192" s="77"/>
      <c r="E192" s="77"/>
      <c r="F192" s="77"/>
      <c r="G192" s="85" t="e">
        <f>G193</f>
        <v>#REF!</v>
      </c>
      <c r="H192" s="74" t="e">
        <f t="shared" ref="H192:H197" si="7">G192*105%</f>
        <v>#REF!</v>
      </c>
    </row>
    <row r="193" spans="1:10">
      <c r="A193" s="78" t="s">
        <v>9</v>
      </c>
      <c r="B193" s="153"/>
      <c r="C193" s="43" t="s">
        <v>10</v>
      </c>
      <c r="D193" s="43"/>
      <c r="E193" s="43"/>
      <c r="F193" s="43"/>
      <c r="G193" s="84" t="e">
        <f>G194</f>
        <v>#REF!</v>
      </c>
      <c r="H193" s="44" t="e">
        <f t="shared" si="7"/>
        <v>#REF!</v>
      </c>
    </row>
    <row r="194" spans="1:10">
      <c r="A194" s="78" t="s">
        <v>28</v>
      </c>
      <c r="B194" s="153"/>
      <c r="C194" s="43" t="s">
        <v>10</v>
      </c>
      <c r="D194" s="43" t="s">
        <v>154</v>
      </c>
      <c r="E194" s="43"/>
      <c r="F194" s="43"/>
      <c r="G194" s="84" t="e">
        <f>G195</f>
        <v>#REF!</v>
      </c>
      <c r="H194" s="44" t="e">
        <f t="shared" si="7"/>
        <v>#REF!</v>
      </c>
    </row>
    <row r="195" spans="1:10" ht="38.25">
      <c r="A195" s="78" t="s">
        <v>110</v>
      </c>
      <c r="B195" s="153"/>
      <c r="C195" s="43" t="s">
        <v>10</v>
      </c>
      <c r="D195" s="43" t="s">
        <v>154</v>
      </c>
      <c r="E195" s="43" t="s">
        <v>14</v>
      </c>
      <c r="F195" s="43"/>
      <c r="G195" s="84" t="e">
        <f>G197</f>
        <v>#REF!</v>
      </c>
      <c r="H195" s="44" t="e">
        <f t="shared" si="7"/>
        <v>#REF!</v>
      </c>
    </row>
    <row r="196" spans="1:10">
      <c r="A196" s="78" t="s">
        <v>15</v>
      </c>
      <c r="B196" s="108"/>
      <c r="C196" s="43" t="s">
        <v>10</v>
      </c>
      <c r="D196" s="43" t="s">
        <v>154</v>
      </c>
      <c r="E196" s="43" t="s">
        <v>16</v>
      </c>
      <c r="F196" s="43"/>
      <c r="G196" s="84" t="e">
        <f>G197</f>
        <v>#REF!</v>
      </c>
      <c r="H196" s="44" t="e">
        <f t="shared" si="7"/>
        <v>#REF!</v>
      </c>
    </row>
    <row r="197" spans="1:10">
      <c r="A197" s="78" t="s">
        <v>15</v>
      </c>
      <c r="B197" s="108"/>
      <c r="C197" s="43" t="s">
        <v>10</v>
      </c>
      <c r="D197" s="43" t="s">
        <v>154</v>
      </c>
      <c r="E197" s="43" t="s">
        <v>17</v>
      </c>
      <c r="F197" s="43"/>
      <c r="G197" s="84" t="e">
        <f>G198+G199+G200+G201</f>
        <v>#REF!</v>
      </c>
      <c r="H197" s="44" t="e">
        <f t="shared" si="7"/>
        <v>#REF!</v>
      </c>
    </row>
    <row r="198" spans="1:10" ht="25.5">
      <c r="A198" s="78" t="s">
        <v>169</v>
      </c>
      <c r="B198" s="153"/>
      <c r="C198" s="43" t="s">
        <v>10</v>
      </c>
      <c r="D198" s="43" t="s">
        <v>154</v>
      </c>
      <c r="E198" s="43" t="s">
        <v>17</v>
      </c>
      <c r="F198" s="43" t="s">
        <v>171</v>
      </c>
      <c r="G198" s="84">
        <f>прил.4!H262*105.5%</f>
        <v>14506.777499999998</v>
      </c>
      <c r="H198" s="44">
        <f>G198*105.5%</f>
        <v>15304.650262499998</v>
      </c>
    </row>
    <row r="199" spans="1:10" ht="38.25">
      <c r="A199" s="78" t="s">
        <v>170</v>
      </c>
      <c r="B199" s="153"/>
      <c r="C199" s="43" t="s">
        <v>10</v>
      </c>
      <c r="D199" s="43" t="s">
        <v>154</v>
      </c>
      <c r="E199" s="43" t="s">
        <v>17</v>
      </c>
      <c r="F199" s="43" t="s">
        <v>168</v>
      </c>
      <c r="G199" s="84">
        <f>прил.4!H263*105.5%</f>
        <v>11705.541499999999</v>
      </c>
      <c r="H199" s="44">
        <f>G199*105.5%</f>
        <v>12349.346282499999</v>
      </c>
    </row>
    <row r="200" spans="1:10" ht="25.5">
      <c r="A200" s="78" t="s">
        <v>264</v>
      </c>
      <c r="B200" s="153"/>
      <c r="C200" s="43" t="s">
        <v>10</v>
      </c>
      <c r="D200" s="43" t="s">
        <v>154</v>
      </c>
      <c r="E200" s="43" t="s">
        <v>17</v>
      </c>
      <c r="F200" s="43" t="s">
        <v>189</v>
      </c>
      <c r="G200" s="84">
        <f>прил.4!H264*105.5%</f>
        <v>80.179999999999993</v>
      </c>
      <c r="H200" s="44">
        <f>G200*105.5%</f>
        <v>84.589899999999986</v>
      </c>
    </row>
    <row r="201" spans="1:10" ht="25.5">
      <c r="A201" s="78" t="s">
        <v>206</v>
      </c>
      <c r="B201" s="153"/>
      <c r="C201" s="43" t="s">
        <v>10</v>
      </c>
      <c r="D201" s="43" t="s">
        <v>154</v>
      </c>
      <c r="E201" s="43" t="s">
        <v>17</v>
      </c>
      <c r="F201" s="43" t="s">
        <v>192</v>
      </c>
      <c r="G201" s="84" t="e">
        <f>прил.4!#REF!*105.5%</f>
        <v>#REF!</v>
      </c>
      <c r="H201" s="44" t="e">
        <f>G201*105.5%</f>
        <v>#REF!</v>
      </c>
    </row>
    <row r="202" spans="1:10" ht="38.25">
      <c r="A202" s="102" t="s">
        <v>119</v>
      </c>
      <c r="B202" s="108">
        <v>873</v>
      </c>
      <c r="C202" s="77"/>
      <c r="D202" s="77"/>
      <c r="E202" s="77"/>
      <c r="F202" s="77"/>
      <c r="G202" s="85" t="e">
        <f>G203+G255-88788.8</f>
        <v>#REF!</v>
      </c>
      <c r="H202" s="85" t="e">
        <f>H203+H255-155.8</f>
        <v>#REF!</v>
      </c>
      <c r="I202" s="22"/>
      <c r="J202" s="127" t="s">
        <v>371</v>
      </c>
    </row>
    <row r="203" spans="1:10">
      <c r="A203" s="78" t="s">
        <v>63</v>
      </c>
      <c r="B203" s="153"/>
      <c r="C203" s="43" t="s">
        <v>64</v>
      </c>
      <c r="D203" s="43"/>
      <c r="E203" s="43"/>
      <c r="F203" s="43"/>
      <c r="G203" s="84" t="e">
        <f>G204+G215+G242+G245+59119.9+7209.6-9875.1-127.2-22.2</f>
        <v>#REF!</v>
      </c>
      <c r="H203" s="84" t="e">
        <f>H204+H215+H242+H245+81045.9-1586.6</f>
        <v>#REF!</v>
      </c>
      <c r="I203" s="22"/>
      <c r="J203" s="22"/>
    </row>
    <row r="204" spans="1:10" ht="15" customHeight="1">
      <c r="A204" s="102" t="s">
        <v>421</v>
      </c>
      <c r="B204" s="153"/>
      <c r="C204" s="43" t="s">
        <v>64</v>
      </c>
      <c r="D204" s="43" t="s">
        <v>10</v>
      </c>
      <c r="E204" s="43"/>
      <c r="F204" s="43"/>
      <c r="G204" s="44">
        <f>G205</f>
        <v>666419.4</v>
      </c>
      <c r="H204" s="84">
        <f>G204</f>
        <v>666419.4</v>
      </c>
      <c r="I204" s="22"/>
      <c r="J204" s="22"/>
    </row>
    <row r="205" spans="1:10">
      <c r="A205" s="78" t="s">
        <v>422</v>
      </c>
      <c r="B205" s="153"/>
      <c r="C205" s="43" t="s">
        <v>64</v>
      </c>
      <c r="D205" s="43" t="s">
        <v>10</v>
      </c>
      <c r="E205" s="43" t="s">
        <v>417</v>
      </c>
      <c r="F205" s="43"/>
      <c r="G205" s="44">
        <f>G206</f>
        <v>666419.4</v>
      </c>
      <c r="H205" s="84">
        <f>G205</f>
        <v>666419.4</v>
      </c>
      <c r="I205" s="22"/>
      <c r="J205" s="22"/>
    </row>
    <row r="206" spans="1:10" ht="25.5">
      <c r="A206" s="78" t="s">
        <v>36</v>
      </c>
      <c r="B206" s="153"/>
      <c r="C206" s="43" t="s">
        <v>64</v>
      </c>
      <c r="D206" s="43" t="s">
        <v>10</v>
      </c>
      <c r="E206" s="43" t="s">
        <v>418</v>
      </c>
      <c r="F206" s="43"/>
      <c r="G206" s="44">
        <f>G207+G211+22.9</f>
        <v>666419.4</v>
      </c>
      <c r="H206" s="44">
        <f>H207+H211</f>
        <v>616390.10000000009</v>
      </c>
      <c r="I206" s="22"/>
      <c r="J206" s="22"/>
    </row>
    <row r="207" spans="1:10" ht="17.25" customHeight="1">
      <c r="A207" s="78" t="s">
        <v>422</v>
      </c>
      <c r="B207" s="153"/>
      <c r="C207" s="43" t="s">
        <v>64</v>
      </c>
      <c r="D207" s="43" t="s">
        <v>10</v>
      </c>
      <c r="E207" s="43" t="s">
        <v>419</v>
      </c>
      <c r="F207" s="43"/>
      <c r="G207" s="44">
        <f>SUM(G208:G210)</f>
        <v>202462.6</v>
      </c>
      <c r="H207" s="84">
        <f>G207-50006.4</f>
        <v>152456.20000000001</v>
      </c>
      <c r="I207" s="22"/>
      <c r="J207" s="22"/>
    </row>
    <row r="208" spans="1:10" ht="25.5">
      <c r="A208" s="78" t="s">
        <v>207</v>
      </c>
      <c r="B208" s="153"/>
      <c r="C208" s="43" t="s">
        <v>64</v>
      </c>
      <c r="D208" s="43" t="s">
        <v>10</v>
      </c>
      <c r="E208" s="43" t="s">
        <v>419</v>
      </c>
      <c r="F208" s="43" t="s">
        <v>168</v>
      </c>
      <c r="G208" s="44">
        <f>193334.5+2267.9</f>
        <v>195602.4</v>
      </c>
      <c r="H208" s="84">
        <f t="shared" ref="H208:H214" si="8">G208</f>
        <v>195602.4</v>
      </c>
      <c r="I208" s="22"/>
      <c r="J208" s="22"/>
    </row>
    <row r="209" spans="1:10" ht="25.5">
      <c r="A209" s="78" t="s">
        <v>380</v>
      </c>
      <c r="B209" s="153"/>
      <c r="C209" s="43" t="s">
        <v>64</v>
      </c>
      <c r="D209" s="43" t="s">
        <v>10</v>
      </c>
      <c r="E209" s="43" t="s">
        <v>419</v>
      </c>
      <c r="F209" s="43" t="s">
        <v>189</v>
      </c>
      <c r="G209" s="44">
        <v>6370.5</v>
      </c>
      <c r="H209" s="84">
        <f t="shared" si="8"/>
        <v>6370.5</v>
      </c>
      <c r="I209" s="22"/>
      <c r="J209" s="22"/>
    </row>
    <row r="210" spans="1:10" ht="25.5">
      <c r="A210" s="78" t="s">
        <v>206</v>
      </c>
      <c r="B210" s="153"/>
      <c r="C210" s="43" t="s">
        <v>64</v>
      </c>
      <c r="D210" s="43" t="s">
        <v>10</v>
      </c>
      <c r="E210" s="43" t="s">
        <v>419</v>
      </c>
      <c r="F210" s="43" t="s">
        <v>192</v>
      </c>
      <c r="G210" s="44">
        <v>489.7</v>
      </c>
      <c r="H210" s="84">
        <f t="shared" si="8"/>
        <v>489.7</v>
      </c>
      <c r="I210" s="22"/>
      <c r="J210" s="22"/>
    </row>
    <row r="211" spans="1:10" ht="51">
      <c r="A211" s="78" t="s">
        <v>263</v>
      </c>
      <c r="B211" s="153"/>
      <c r="C211" s="43" t="s">
        <v>64</v>
      </c>
      <c r="D211" s="43" t="s">
        <v>10</v>
      </c>
      <c r="E211" s="43" t="s">
        <v>420</v>
      </c>
      <c r="F211" s="43"/>
      <c r="G211" s="44">
        <f>SUM(G212:G214)</f>
        <v>463933.9</v>
      </c>
      <c r="H211" s="84">
        <f t="shared" si="8"/>
        <v>463933.9</v>
      </c>
      <c r="I211" s="22"/>
      <c r="J211" s="22"/>
    </row>
    <row r="212" spans="1:10">
      <c r="A212" s="78" t="s">
        <v>209</v>
      </c>
      <c r="B212" s="153"/>
      <c r="C212" s="43" t="s">
        <v>64</v>
      </c>
      <c r="D212" s="43" t="s">
        <v>10</v>
      </c>
      <c r="E212" s="43" t="s">
        <v>420</v>
      </c>
      <c r="F212" s="43" t="s">
        <v>171</v>
      </c>
      <c r="G212" s="44">
        <v>456091.9</v>
      </c>
      <c r="H212" s="84">
        <f t="shared" si="8"/>
        <v>456091.9</v>
      </c>
      <c r="I212" s="22"/>
      <c r="J212" s="22"/>
    </row>
    <row r="213" spans="1:10" ht="25.5">
      <c r="A213" s="78" t="s">
        <v>221</v>
      </c>
      <c r="B213" s="153"/>
      <c r="C213" s="43" t="s">
        <v>64</v>
      </c>
      <c r="D213" s="43" t="s">
        <v>10</v>
      </c>
      <c r="E213" s="43" t="s">
        <v>420</v>
      </c>
      <c r="F213" s="43" t="s">
        <v>220</v>
      </c>
      <c r="G213" s="44">
        <v>2258.3000000000002</v>
      </c>
      <c r="H213" s="84">
        <f t="shared" si="8"/>
        <v>2258.3000000000002</v>
      </c>
      <c r="I213" s="22"/>
      <c r="J213" s="22"/>
    </row>
    <row r="214" spans="1:10" ht="29.25" customHeight="1">
      <c r="A214" s="78" t="s">
        <v>207</v>
      </c>
      <c r="B214" s="153"/>
      <c r="C214" s="43" t="s">
        <v>64</v>
      </c>
      <c r="D214" s="43" t="s">
        <v>10</v>
      </c>
      <c r="E214" s="43" t="s">
        <v>420</v>
      </c>
      <c r="F214" s="43" t="s">
        <v>168</v>
      </c>
      <c r="G214" s="44">
        <v>5583.7</v>
      </c>
      <c r="H214" s="84">
        <f t="shared" si="8"/>
        <v>5583.7</v>
      </c>
      <c r="I214" s="22"/>
      <c r="J214" s="22"/>
    </row>
    <row r="215" spans="1:10" ht="17.25" customHeight="1">
      <c r="A215" s="78" t="s">
        <v>65</v>
      </c>
      <c r="B215" s="153"/>
      <c r="C215" s="43" t="s">
        <v>64</v>
      </c>
      <c r="D215" s="43" t="s">
        <v>50</v>
      </c>
      <c r="E215" s="43"/>
      <c r="F215" s="43"/>
      <c r="G215" s="84" t="e">
        <f>G216+G218+G226+G230+G237</f>
        <v>#REF!</v>
      </c>
      <c r="H215" s="84" t="e">
        <f>H216+H218+H226+H230+H237</f>
        <v>#REF!</v>
      </c>
      <c r="I215" s="22"/>
      <c r="J215" s="22"/>
    </row>
    <row r="216" spans="1:10" ht="65.25" customHeight="1">
      <c r="A216" s="78" t="s">
        <v>459</v>
      </c>
      <c r="B216" s="153"/>
      <c r="C216" s="43" t="s">
        <v>64</v>
      </c>
      <c r="D216" s="43" t="s">
        <v>50</v>
      </c>
      <c r="E216" s="43" t="s">
        <v>278</v>
      </c>
      <c r="F216" s="43"/>
      <c r="G216" s="84">
        <f>G217</f>
        <v>123272</v>
      </c>
      <c r="H216" s="44">
        <f>H217</f>
        <v>0</v>
      </c>
    </row>
    <row r="217" spans="1:10" ht="33.75" customHeight="1">
      <c r="A217" s="78" t="s">
        <v>170</v>
      </c>
      <c r="B217" s="153"/>
      <c r="C217" s="43" t="s">
        <v>64</v>
      </c>
      <c r="D217" s="43" t="s">
        <v>50</v>
      </c>
      <c r="E217" s="43" t="s">
        <v>368</v>
      </c>
      <c r="F217" s="43" t="s">
        <v>168</v>
      </c>
      <c r="G217" s="84">
        <v>123272</v>
      </c>
      <c r="H217" s="44">
        <v>0</v>
      </c>
    </row>
    <row r="218" spans="1:10" ht="27.75" customHeight="1">
      <c r="A218" s="78" t="s">
        <v>66</v>
      </c>
      <c r="B218" s="153"/>
      <c r="C218" s="43" t="s">
        <v>64</v>
      </c>
      <c r="D218" s="43" t="s">
        <v>50</v>
      </c>
      <c r="E218" s="43" t="s">
        <v>67</v>
      </c>
      <c r="F218" s="43"/>
      <c r="G218" s="84" t="e">
        <f>G219</f>
        <v>#REF!</v>
      </c>
      <c r="H218" s="44" t="e">
        <f>H219</f>
        <v>#REF!</v>
      </c>
    </row>
    <row r="219" spans="1:10" ht="30" customHeight="1">
      <c r="A219" s="78" t="s">
        <v>36</v>
      </c>
      <c r="B219" s="153"/>
      <c r="C219" s="43" t="s">
        <v>64</v>
      </c>
      <c r="D219" s="43" t="s">
        <v>50</v>
      </c>
      <c r="E219" s="43" t="s">
        <v>68</v>
      </c>
      <c r="F219" s="43"/>
      <c r="G219" s="84" t="e">
        <f>G220</f>
        <v>#REF!</v>
      </c>
      <c r="H219" s="44" t="e">
        <f>H220</f>
        <v>#REF!</v>
      </c>
    </row>
    <row r="220" spans="1:10" ht="25.5">
      <c r="A220" s="78" t="s">
        <v>36</v>
      </c>
      <c r="B220" s="153"/>
      <c r="C220" s="43" t="s">
        <v>64</v>
      </c>
      <c r="D220" s="43" t="s">
        <v>50</v>
      </c>
      <c r="E220" s="43" t="s">
        <v>69</v>
      </c>
      <c r="F220" s="43"/>
      <c r="G220" s="84" t="e">
        <f>G221+G222</f>
        <v>#REF!</v>
      </c>
      <c r="H220" s="44" t="e">
        <f>H221</f>
        <v>#REF!</v>
      </c>
    </row>
    <row r="221" spans="1:10" ht="29.25" customHeight="1">
      <c r="A221" s="78" t="s">
        <v>66</v>
      </c>
      <c r="B221" s="153"/>
      <c r="C221" s="43" t="s">
        <v>64</v>
      </c>
      <c r="D221" s="43" t="s">
        <v>50</v>
      </c>
      <c r="E221" s="43" t="s">
        <v>69</v>
      </c>
      <c r="F221" s="43"/>
      <c r="G221" s="84" t="e">
        <f>G222+G223+G224+G225</f>
        <v>#REF!</v>
      </c>
      <c r="H221" s="44" t="e">
        <f>G221*105%</f>
        <v>#REF!</v>
      </c>
    </row>
    <row r="222" spans="1:10" ht="21.75" customHeight="1">
      <c r="A222" s="78" t="s">
        <v>209</v>
      </c>
      <c r="B222" s="153"/>
      <c r="C222" s="43" t="s">
        <v>64</v>
      </c>
      <c r="D222" s="43" t="s">
        <v>50</v>
      </c>
      <c r="E222" s="43" t="s">
        <v>69</v>
      </c>
      <c r="F222" s="43" t="s">
        <v>171</v>
      </c>
      <c r="G222" s="84" t="e">
        <f>прил.4!#REF!*105.5%</f>
        <v>#REF!</v>
      </c>
      <c r="H222" s="44" t="e">
        <f>G222*105.5%</f>
        <v>#REF!</v>
      </c>
    </row>
    <row r="223" spans="1:10" ht="32.25" customHeight="1">
      <c r="A223" s="78" t="s">
        <v>170</v>
      </c>
      <c r="B223" s="153"/>
      <c r="C223" s="43" t="s">
        <v>64</v>
      </c>
      <c r="D223" s="43" t="s">
        <v>50</v>
      </c>
      <c r="E223" s="43" t="s">
        <v>69</v>
      </c>
      <c r="F223" s="43" t="s">
        <v>168</v>
      </c>
      <c r="G223" s="84" t="e">
        <f>прил.4!#REF!*105.5%</f>
        <v>#REF!</v>
      </c>
      <c r="H223" s="44" t="e">
        <f>G223*105.5%+50000</f>
        <v>#REF!</v>
      </c>
    </row>
    <row r="224" spans="1:10" ht="31.5" customHeight="1">
      <c r="A224" s="78" t="s">
        <v>264</v>
      </c>
      <c r="B224" s="153"/>
      <c r="C224" s="43" t="s">
        <v>64</v>
      </c>
      <c r="D224" s="43" t="s">
        <v>50</v>
      </c>
      <c r="E224" s="43" t="s">
        <v>69</v>
      </c>
      <c r="F224" s="43" t="s">
        <v>189</v>
      </c>
      <c r="G224" s="84" t="e">
        <f>прил.4!#REF!*105.5%</f>
        <v>#REF!</v>
      </c>
      <c r="H224" s="44" t="e">
        <f>G224*105.5%</f>
        <v>#REF!</v>
      </c>
    </row>
    <row r="225" spans="1:8" ht="30.75" customHeight="1">
      <c r="A225" s="78" t="s">
        <v>206</v>
      </c>
      <c r="B225" s="153"/>
      <c r="C225" s="43" t="s">
        <v>64</v>
      </c>
      <c r="D225" s="43" t="s">
        <v>50</v>
      </c>
      <c r="E225" s="43" t="s">
        <v>69</v>
      </c>
      <c r="F225" s="43" t="s">
        <v>192</v>
      </c>
      <c r="G225" s="84" t="e">
        <f>прил.4!#REF!*105.5%</f>
        <v>#REF!</v>
      </c>
      <c r="H225" s="44" t="e">
        <f>G225*105.5%</f>
        <v>#REF!</v>
      </c>
    </row>
    <row r="226" spans="1:8" ht="48" customHeight="1">
      <c r="A226" s="78" t="s">
        <v>263</v>
      </c>
      <c r="B226" s="153"/>
      <c r="C226" s="43" t="s">
        <v>64</v>
      </c>
      <c r="D226" s="43" t="s">
        <v>50</v>
      </c>
      <c r="E226" s="43" t="s">
        <v>262</v>
      </c>
      <c r="F226" s="43"/>
      <c r="G226" s="84">
        <f>G227+G228+G229</f>
        <v>793495.10000000009</v>
      </c>
      <c r="H226" s="44">
        <f>G226</f>
        <v>793495.10000000009</v>
      </c>
    </row>
    <row r="227" spans="1:8" ht="21.75" customHeight="1">
      <c r="A227" s="78" t="s">
        <v>209</v>
      </c>
      <c r="B227" s="153"/>
      <c r="C227" s="43" t="s">
        <v>64</v>
      </c>
      <c r="D227" s="43" t="s">
        <v>50</v>
      </c>
      <c r="E227" s="43" t="s">
        <v>262</v>
      </c>
      <c r="F227" s="43" t="s">
        <v>171</v>
      </c>
      <c r="G227" s="84">
        <f>785351.8-6023</f>
        <v>779328.8</v>
      </c>
      <c r="H227" s="84">
        <f>785351.8-6023</f>
        <v>779328.8</v>
      </c>
    </row>
    <row r="228" spans="1:8" ht="31.5" customHeight="1">
      <c r="A228" s="78" t="s">
        <v>221</v>
      </c>
      <c r="B228" s="153"/>
      <c r="C228" s="43" t="s">
        <v>64</v>
      </c>
      <c r="D228" s="43" t="s">
        <v>50</v>
      </c>
      <c r="E228" s="43" t="s">
        <v>262</v>
      </c>
      <c r="F228" s="43" t="s">
        <v>220</v>
      </c>
      <c r="G228" s="84">
        <v>3765.8</v>
      </c>
      <c r="H228" s="84">
        <v>3765.8</v>
      </c>
    </row>
    <row r="229" spans="1:8" ht="42.75" customHeight="1">
      <c r="A229" s="78" t="s">
        <v>207</v>
      </c>
      <c r="B229" s="153"/>
      <c r="C229" s="43" t="s">
        <v>64</v>
      </c>
      <c r="D229" s="43" t="s">
        <v>50</v>
      </c>
      <c r="E229" s="43" t="s">
        <v>262</v>
      </c>
      <c r="F229" s="43" t="s">
        <v>168</v>
      </c>
      <c r="G229" s="84">
        <v>10400.5</v>
      </c>
      <c r="H229" s="84">
        <v>10400.5</v>
      </c>
    </row>
    <row r="230" spans="1:8" ht="30.75" customHeight="1">
      <c r="A230" s="78" t="s">
        <v>70</v>
      </c>
      <c r="B230" s="153"/>
      <c r="C230" s="43" t="s">
        <v>64</v>
      </c>
      <c r="D230" s="43" t="s">
        <v>50</v>
      </c>
      <c r="E230" s="43" t="s">
        <v>71</v>
      </c>
      <c r="F230" s="43"/>
      <c r="G230" s="84" t="e">
        <f>G231</f>
        <v>#REF!</v>
      </c>
      <c r="H230" s="44" t="e">
        <f>G230*105%</f>
        <v>#REF!</v>
      </c>
    </row>
    <row r="231" spans="1:8" ht="25.5">
      <c r="A231" s="78" t="s">
        <v>36</v>
      </c>
      <c r="B231" s="153"/>
      <c r="C231" s="43" t="s">
        <v>64</v>
      </c>
      <c r="D231" s="43" t="s">
        <v>50</v>
      </c>
      <c r="E231" s="43" t="s">
        <v>72</v>
      </c>
      <c r="F231" s="43"/>
      <c r="G231" s="84" t="e">
        <f>G232</f>
        <v>#REF!</v>
      </c>
      <c r="H231" s="44" t="e">
        <f>G231*105%</f>
        <v>#REF!</v>
      </c>
    </row>
    <row r="232" spans="1:8" ht="25.5">
      <c r="A232" s="78" t="s">
        <v>36</v>
      </c>
      <c r="B232" s="153"/>
      <c r="C232" s="43" t="s">
        <v>64</v>
      </c>
      <c r="D232" s="43" t="s">
        <v>50</v>
      </c>
      <c r="E232" s="43" t="s">
        <v>72</v>
      </c>
      <c r="F232" s="43"/>
      <c r="G232" s="84" t="e">
        <f>G233+G234+G235+G236</f>
        <v>#REF!</v>
      </c>
      <c r="H232" s="44" t="e">
        <f>G232*105%</f>
        <v>#REF!</v>
      </c>
    </row>
    <row r="233" spans="1:8" ht="24.75" customHeight="1">
      <c r="A233" s="78" t="s">
        <v>209</v>
      </c>
      <c r="B233" s="153"/>
      <c r="C233" s="43" t="s">
        <v>64</v>
      </c>
      <c r="D233" s="43" t="s">
        <v>50</v>
      </c>
      <c r="E233" s="43" t="s">
        <v>72</v>
      </c>
      <c r="F233" s="43" t="s">
        <v>171</v>
      </c>
      <c r="G233" s="84" t="e">
        <f>прил.4!#REF!*105.5%</f>
        <v>#REF!</v>
      </c>
      <c r="H233" s="44" t="e">
        <f>G233*105.5%</f>
        <v>#REF!</v>
      </c>
    </row>
    <row r="234" spans="1:8" ht="28.5" customHeight="1">
      <c r="A234" s="78" t="s">
        <v>365</v>
      </c>
      <c r="B234" s="153"/>
      <c r="C234" s="43" t="s">
        <v>64</v>
      </c>
      <c r="D234" s="43" t="s">
        <v>50</v>
      </c>
      <c r="E234" s="43" t="s">
        <v>72</v>
      </c>
      <c r="F234" s="43" t="s">
        <v>220</v>
      </c>
      <c r="G234" s="84" t="e">
        <f>прил.4!#REF!*105.5%</f>
        <v>#REF!</v>
      </c>
      <c r="H234" s="44" t="e">
        <f>G234*105.5%</f>
        <v>#REF!</v>
      </c>
    </row>
    <row r="235" spans="1:8" ht="33.75" customHeight="1">
      <c r="A235" s="78" t="s">
        <v>170</v>
      </c>
      <c r="B235" s="153"/>
      <c r="C235" s="43" t="s">
        <v>64</v>
      </c>
      <c r="D235" s="43" t="s">
        <v>50</v>
      </c>
      <c r="E235" s="43" t="s">
        <v>72</v>
      </c>
      <c r="F235" s="43" t="s">
        <v>168</v>
      </c>
      <c r="G235" s="84" t="e">
        <f>прил.4!#REF!*105.5%</f>
        <v>#REF!</v>
      </c>
      <c r="H235" s="44" t="e">
        <f>G235*105.5%</f>
        <v>#REF!</v>
      </c>
    </row>
    <row r="236" spans="1:8" ht="33.75" customHeight="1">
      <c r="A236" s="78" t="s">
        <v>264</v>
      </c>
      <c r="B236" s="153"/>
      <c r="C236" s="43" t="s">
        <v>64</v>
      </c>
      <c r="D236" s="43" t="s">
        <v>50</v>
      </c>
      <c r="E236" s="43" t="s">
        <v>72</v>
      </c>
      <c r="F236" s="43" t="s">
        <v>189</v>
      </c>
      <c r="G236" s="84" t="e">
        <f>прил.4!#REF!*105.5%</f>
        <v>#REF!</v>
      </c>
      <c r="H236" s="44" t="e">
        <f>G236*105.5%</f>
        <v>#REF!</v>
      </c>
    </row>
    <row r="237" spans="1:8" ht="33.75" hidden="1" customHeight="1">
      <c r="A237" s="78" t="s">
        <v>248</v>
      </c>
      <c r="B237" s="153"/>
      <c r="C237" s="43" t="s">
        <v>64</v>
      </c>
      <c r="D237" s="43" t="s">
        <v>50</v>
      </c>
      <c r="E237" s="43" t="s">
        <v>247</v>
      </c>
      <c r="F237" s="43"/>
      <c r="G237" s="84">
        <f>G238</f>
        <v>0</v>
      </c>
      <c r="H237" s="44">
        <f>G237*105%</f>
        <v>0</v>
      </c>
    </row>
    <row r="238" spans="1:8" ht="45.75" hidden="1" customHeight="1">
      <c r="A238" s="78" t="s">
        <v>250</v>
      </c>
      <c r="B238" s="153"/>
      <c r="C238" s="43" t="s">
        <v>64</v>
      </c>
      <c r="D238" s="43" t="s">
        <v>50</v>
      </c>
      <c r="E238" s="43" t="s">
        <v>249</v>
      </c>
      <c r="F238" s="43"/>
      <c r="G238" s="84">
        <v>0</v>
      </c>
      <c r="H238" s="44">
        <f>H239</f>
        <v>0</v>
      </c>
    </row>
    <row r="239" spans="1:8" ht="33.75" hidden="1" customHeight="1">
      <c r="A239" s="78" t="s">
        <v>209</v>
      </c>
      <c r="B239" s="153"/>
      <c r="C239" s="43" t="s">
        <v>64</v>
      </c>
      <c r="D239" s="43" t="s">
        <v>50</v>
      </c>
      <c r="E239" s="43" t="s">
        <v>249</v>
      </c>
      <c r="F239" s="43" t="s">
        <v>171</v>
      </c>
      <c r="G239" s="84">
        <v>0</v>
      </c>
      <c r="H239" s="44">
        <v>0</v>
      </c>
    </row>
    <row r="240" spans="1:8" ht="33.75" hidden="1" customHeight="1">
      <c r="A240" s="78" t="s">
        <v>258</v>
      </c>
      <c r="B240" s="153"/>
      <c r="C240" s="43" t="s">
        <v>64</v>
      </c>
      <c r="D240" s="43" t="s">
        <v>64</v>
      </c>
      <c r="E240" s="43"/>
      <c r="F240" s="43"/>
      <c r="G240" s="84">
        <f>G241</f>
        <v>0</v>
      </c>
      <c r="H240" s="44">
        <f>H241</f>
        <v>0</v>
      </c>
    </row>
    <row r="241" spans="1:9" ht="33.75" hidden="1" customHeight="1">
      <c r="A241" s="78" t="s">
        <v>258</v>
      </c>
      <c r="B241" s="153"/>
      <c r="C241" s="43" t="s">
        <v>64</v>
      </c>
      <c r="D241" s="43" t="s">
        <v>64</v>
      </c>
      <c r="E241" s="43" t="s">
        <v>261</v>
      </c>
      <c r="F241" s="43"/>
      <c r="G241" s="84">
        <f>G242</f>
        <v>0</v>
      </c>
      <c r="H241" s="44">
        <f>H242</f>
        <v>0</v>
      </c>
    </row>
    <row r="242" spans="1:9" ht="25.5" hidden="1" customHeight="1">
      <c r="A242" s="78" t="s">
        <v>74</v>
      </c>
      <c r="B242" s="153"/>
      <c r="C242" s="43" t="s">
        <v>64</v>
      </c>
      <c r="D242" s="43" t="s">
        <v>64</v>
      </c>
      <c r="E242" s="43" t="s">
        <v>424</v>
      </c>
      <c r="F242" s="43" t="s">
        <v>424</v>
      </c>
      <c r="G242" s="84">
        <v>0</v>
      </c>
      <c r="H242" s="84">
        <v>0</v>
      </c>
    </row>
    <row r="243" spans="1:9" ht="76.5" customHeight="1">
      <c r="A243" s="78" t="s">
        <v>423</v>
      </c>
      <c r="B243" s="153"/>
      <c r="C243" s="43" t="s">
        <v>64</v>
      </c>
      <c r="D243" s="43" t="s">
        <v>64</v>
      </c>
      <c r="E243" s="43"/>
      <c r="F243" s="43"/>
      <c r="G243" s="84">
        <f>G244</f>
        <v>75</v>
      </c>
      <c r="H243" s="84">
        <f>H244</f>
        <v>75</v>
      </c>
    </row>
    <row r="244" spans="1:9" ht="33.75" customHeight="1">
      <c r="A244" s="78" t="s">
        <v>207</v>
      </c>
      <c r="B244" s="153"/>
      <c r="C244" s="43" t="s">
        <v>64</v>
      </c>
      <c r="D244" s="43" t="s">
        <v>64</v>
      </c>
      <c r="E244" s="43"/>
      <c r="F244" s="43" t="s">
        <v>168</v>
      </c>
      <c r="G244" s="84">
        <v>75</v>
      </c>
      <c r="H244" s="44">
        <v>75</v>
      </c>
    </row>
    <row r="245" spans="1:9" ht="21.75" customHeight="1">
      <c r="A245" s="78" t="s">
        <v>75</v>
      </c>
      <c r="B245" s="153"/>
      <c r="C245" s="43" t="s">
        <v>64</v>
      </c>
      <c r="D245" s="43" t="s">
        <v>33</v>
      </c>
      <c r="E245" s="43"/>
      <c r="F245" s="43"/>
      <c r="G245" s="84" t="e">
        <f>G246+G248</f>
        <v>#REF!</v>
      </c>
      <c r="H245" s="44" t="e">
        <f>G245*105%</f>
        <v>#REF!</v>
      </c>
    </row>
    <row r="246" spans="1:9" ht="60.75" customHeight="1">
      <c r="A246" s="78" t="s">
        <v>369</v>
      </c>
      <c r="B246" s="153"/>
      <c r="C246" s="43" t="s">
        <v>64</v>
      </c>
      <c r="D246" s="43" t="s">
        <v>33</v>
      </c>
      <c r="E246" s="43" t="s">
        <v>404</v>
      </c>
      <c r="F246" s="43"/>
      <c r="G246" s="84" t="e">
        <f>G247</f>
        <v>#REF!</v>
      </c>
      <c r="H246" s="84" t="e">
        <f>H247</f>
        <v>#REF!</v>
      </c>
    </row>
    <row r="247" spans="1:9" ht="64.5" customHeight="1">
      <c r="A247" s="78" t="s">
        <v>224</v>
      </c>
      <c r="B247" s="153"/>
      <c r="C247" s="43" t="s">
        <v>64</v>
      </c>
      <c r="D247" s="43" t="s">
        <v>33</v>
      </c>
      <c r="E247" s="43" t="s">
        <v>404</v>
      </c>
      <c r="F247" s="43" t="s">
        <v>183</v>
      </c>
      <c r="G247" s="84" t="e">
        <f>прил.4!#REF!*105.5%</f>
        <v>#REF!</v>
      </c>
      <c r="H247" s="44" t="e">
        <f>G247*105%</f>
        <v>#REF!</v>
      </c>
    </row>
    <row r="248" spans="1:9" ht="76.5">
      <c r="A248" s="78" t="s">
        <v>95</v>
      </c>
      <c r="B248" s="153"/>
      <c r="C248" s="43" t="s">
        <v>64</v>
      </c>
      <c r="D248" s="43" t="s">
        <v>33</v>
      </c>
      <c r="E248" s="43" t="s">
        <v>78</v>
      </c>
      <c r="F248" s="43"/>
      <c r="G248" s="84" t="e">
        <f>G249</f>
        <v>#REF!</v>
      </c>
      <c r="H248" s="44" t="e">
        <f>G248*105%</f>
        <v>#REF!</v>
      </c>
    </row>
    <row r="249" spans="1:9" ht="25.5">
      <c r="A249" s="78" t="s">
        <v>36</v>
      </c>
      <c r="B249" s="108"/>
      <c r="C249" s="43" t="s">
        <v>64</v>
      </c>
      <c r="D249" s="43" t="s">
        <v>33</v>
      </c>
      <c r="E249" s="43" t="s">
        <v>79</v>
      </c>
      <c r="F249" s="43"/>
      <c r="G249" s="84" t="e">
        <f>G250+G251+G252+G253+G254</f>
        <v>#REF!</v>
      </c>
      <c r="H249" s="84" t="e">
        <f>H250+H251+H252+H253+H254</f>
        <v>#REF!</v>
      </c>
    </row>
    <row r="250" spans="1:9" ht="25.5">
      <c r="A250" s="124" t="s">
        <v>169</v>
      </c>
      <c r="B250" s="153"/>
      <c r="C250" s="43" t="s">
        <v>64</v>
      </c>
      <c r="D250" s="43" t="s">
        <v>33</v>
      </c>
      <c r="E250" s="43" t="s">
        <v>79</v>
      </c>
      <c r="F250" s="43" t="s">
        <v>171</v>
      </c>
      <c r="G250" s="84">
        <f>прил.4!H340*105.5%</f>
        <v>10909.754999999999</v>
      </c>
      <c r="H250" s="44">
        <f>G250*105.5%</f>
        <v>11509.791524999999</v>
      </c>
    </row>
    <row r="251" spans="1:9" ht="38.25">
      <c r="A251" s="78" t="s">
        <v>170</v>
      </c>
      <c r="B251" s="153"/>
      <c r="C251" s="43" t="s">
        <v>64</v>
      </c>
      <c r="D251" s="43" t="s">
        <v>33</v>
      </c>
      <c r="E251" s="43" t="s">
        <v>79</v>
      </c>
      <c r="F251" s="43" t="s">
        <v>168</v>
      </c>
      <c r="G251" s="84">
        <f>прил.4!H341*105.5%+126.6</f>
        <v>1504.3244999999999</v>
      </c>
      <c r="H251" s="44">
        <f>G251*105.5%+133.6</f>
        <v>1720.6623474999997</v>
      </c>
    </row>
    <row r="252" spans="1:9" ht="108" customHeight="1">
      <c r="A252" s="78" t="s">
        <v>367</v>
      </c>
      <c r="B252" s="153"/>
      <c r="C252" s="43" t="s">
        <v>64</v>
      </c>
      <c r="D252" s="43" t="s">
        <v>33</v>
      </c>
      <c r="E252" s="43" t="s">
        <v>79</v>
      </c>
      <c r="F252" s="43" t="s">
        <v>217</v>
      </c>
      <c r="G252" s="84">
        <f>прил.4!H342*105.5%</f>
        <v>644.81600000000003</v>
      </c>
      <c r="H252" s="44">
        <f>G252*105.5%</f>
        <v>680.28088000000002</v>
      </c>
    </row>
    <row r="253" spans="1:9" ht="29.25" customHeight="1">
      <c r="A253" s="78" t="s">
        <v>264</v>
      </c>
      <c r="B253" s="153"/>
      <c r="C253" s="43" t="s">
        <v>64</v>
      </c>
      <c r="D253" s="43" t="s">
        <v>33</v>
      </c>
      <c r="E253" s="43" t="s">
        <v>79</v>
      </c>
      <c r="F253" s="43" t="s">
        <v>189</v>
      </c>
      <c r="G253" s="84" t="e">
        <f>прил.4!#REF!*105.5%</f>
        <v>#REF!</v>
      </c>
      <c r="H253" s="44" t="e">
        <f>G253*105.5%</f>
        <v>#REF!</v>
      </c>
    </row>
    <row r="254" spans="1:9" ht="28.5" customHeight="1">
      <c r="A254" s="78" t="s">
        <v>206</v>
      </c>
      <c r="B254" s="153"/>
      <c r="C254" s="43" t="s">
        <v>64</v>
      </c>
      <c r="D254" s="43" t="s">
        <v>33</v>
      </c>
      <c r="E254" s="43" t="s">
        <v>79</v>
      </c>
      <c r="F254" s="43" t="s">
        <v>192</v>
      </c>
      <c r="G254" s="84" t="e">
        <f>прил.4!#REF!*105.5%</f>
        <v>#REF!</v>
      </c>
      <c r="H254" s="44" t="e">
        <f>G254*105.5%</f>
        <v>#REF!</v>
      </c>
    </row>
    <row r="255" spans="1:9" ht="18" customHeight="1">
      <c r="A255" s="78" t="s">
        <v>232</v>
      </c>
      <c r="B255" s="153"/>
      <c r="C255" s="43" t="s">
        <v>94</v>
      </c>
      <c r="D255" s="43"/>
      <c r="E255" s="43"/>
      <c r="F255" s="43"/>
      <c r="G255" s="84" t="e">
        <f>G256+G269</f>
        <v>#REF!</v>
      </c>
      <c r="H255" s="84" t="e">
        <f>H256+H269</f>
        <v>#REF!</v>
      </c>
      <c r="I255" s="22"/>
    </row>
    <row r="256" spans="1:9" ht="18" customHeight="1">
      <c r="A256" s="78" t="s">
        <v>233</v>
      </c>
      <c r="B256" s="153"/>
      <c r="C256" s="43" t="s">
        <v>94</v>
      </c>
      <c r="D256" s="43" t="s">
        <v>19</v>
      </c>
      <c r="E256" s="43"/>
      <c r="F256" s="43"/>
      <c r="G256" s="84" t="e">
        <f>G257+G260+G263+G265+G267</f>
        <v>#REF!</v>
      </c>
      <c r="H256" s="84" t="e">
        <f>H257+H260+H263+H265+H267</f>
        <v>#REF!</v>
      </c>
      <c r="I256" s="22"/>
    </row>
    <row r="257" spans="1:10" ht="42.75" customHeight="1">
      <c r="A257" s="78" t="s">
        <v>234</v>
      </c>
      <c r="B257" s="43"/>
      <c r="C257" s="43" t="s">
        <v>94</v>
      </c>
      <c r="D257" s="43" t="s">
        <v>19</v>
      </c>
      <c r="E257" s="43" t="s">
        <v>235</v>
      </c>
      <c r="F257" s="43"/>
      <c r="G257" s="84">
        <f>G258</f>
        <v>50</v>
      </c>
      <c r="H257" s="44">
        <v>50</v>
      </c>
    </row>
    <row r="258" spans="1:10" ht="56.25" customHeight="1">
      <c r="A258" s="125" t="s">
        <v>256</v>
      </c>
      <c r="B258" s="153"/>
      <c r="C258" s="43" t="s">
        <v>94</v>
      </c>
      <c r="D258" s="43" t="s">
        <v>19</v>
      </c>
      <c r="E258" s="43" t="s">
        <v>236</v>
      </c>
      <c r="F258" s="43"/>
      <c r="G258" s="84">
        <f>G259</f>
        <v>50</v>
      </c>
      <c r="H258" s="44">
        <f>H259</f>
        <v>50</v>
      </c>
    </row>
    <row r="259" spans="1:10" ht="26.25" customHeight="1">
      <c r="A259" s="78" t="s">
        <v>292</v>
      </c>
      <c r="B259" s="153"/>
      <c r="C259" s="43" t="s">
        <v>94</v>
      </c>
      <c r="D259" s="43" t="s">
        <v>19</v>
      </c>
      <c r="E259" s="43" t="s">
        <v>236</v>
      </c>
      <c r="F259" s="43" t="s">
        <v>291</v>
      </c>
      <c r="G259" s="84">
        <v>50</v>
      </c>
      <c r="H259" s="44">
        <v>50</v>
      </c>
    </row>
    <row r="260" spans="1:10" ht="86.25" customHeight="1">
      <c r="A260" s="125" t="s">
        <v>255</v>
      </c>
      <c r="B260" s="153"/>
      <c r="C260" s="43" t="s">
        <v>94</v>
      </c>
      <c r="D260" s="43" t="s">
        <v>19</v>
      </c>
      <c r="E260" s="43" t="s">
        <v>253</v>
      </c>
      <c r="F260" s="43"/>
      <c r="G260" s="84">
        <f>G261</f>
        <v>27398.2</v>
      </c>
      <c r="H260" s="44">
        <v>27398.2</v>
      </c>
    </row>
    <row r="261" spans="1:10" ht="96.75" customHeight="1">
      <c r="A261" s="125" t="s">
        <v>257</v>
      </c>
      <c r="B261" s="153"/>
      <c r="C261" s="43" t="s">
        <v>94</v>
      </c>
      <c r="D261" s="43" t="s">
        <v>19</v>
      </c>
      <c r="E261" s="43" t="s">
        <v>254</v>
      </c>
      <c r="F261" s="43"/>
      <c r="G261" s="84">
        <f>G262</f>
        <v>27398.2</v>
      </c>
      <c r="H261" s="44">
        <f>H262</f>
        <v>27398.2</v>
      </c>
    </row>
    <row r="262" spans="1:10" ht="32.25" customHeight="1">
      <c r="A262" s="78" t="s">
        <v>292</v>
      </c>
      <c r="B262" s="153"/>
      <c r="C262" s="43" t="s">
        <v>94</v>
      </c>
      <c r="D262" s="43" t="s">
        <v>19</v>
      </c>
      <c r="E262" s="43" t="s">
        <v>254</v>
      </c>
      <c r="F262" s="43" t="s">
        <v>291</v>
      </c>
      <c r="G262" s="84">
        <v>27398.2</v>
      </c>
      <c r="H262" s="44">
        <v>27398.2</v>
      </c>
    </row>
    <row r="263" spans="1:10" ht="45" customHeight="1">
      <c r="A263" s="78" t="s">
        <v>390</v>
      </c>
      <c r="B263" s="153"/>
      <c r="C263" s="43" t="s">
        <v>94</v>
      </c>
      <c r="D263" s="43" t="s">
        <v>19</v>
      </c>
      <c r="E263" s="43" t="s">
        <v>241</v>
      </c>
      <c r="F263" s="43"/>
      <c r="G263" s="84" t="e">
        <f>G264</f>
        <v>#REF!</v>
      </c>
      <c r="H263" s="44" t="e">
        <f>H264</f>
        <v>#REF!</v>
      </c>
    </row>
    <row r="264" spans="1:10" ht="35.25" customHeight="1">
      <c r="A264" s="78" t="s">
        <v>292</v>
      </c>
      <c r="B264" s="153"/>
      <c r="C264" s="43" t="s">
        <v>94</v>
      </c>
      <c r="D264" s="43" t="s">
        <v>19</v>
      </c>
      <c r="E264" s="43" t="s">
        <v>241</v>
      </c>
      <c r="F264" s="43" t="s">
        <v>291</v>
      </c>
      <c r="G264" s="84" t="e">
        <f>прил.4!#REF!</f>
        <v>#REF!</v>
      </c>
      <c r="H264" s="44" t="e">
        <f t="shared" ref="H264:H269" si="9">G264</f>
        <v>#REF!</v>
      </c>
    </row>
    <row r="265" spans="1:10" ht="41.25" customHeight="1">
      <c r="A265" s="78" t="s">
        <v>238</v>
      </c>
      <c r="B265" s="153"/>
      <c r="C265" s="43" t="s">
        <v>94</v>
      </c>
      <c r="D265" s="43" t="s">
        <v>19</v>
      </c>
      <c r="E265" s="43" t="s">
        <v>242</v>
      </c>
      <c r="F265" s="43"/>
      <c r="G265" s="84">
        <f>G266</f>
        <v>20848</v>
      </c>
      <c r="H265" s="44">
        <f t="shared" si="9"/>
        <v>20848</v>
      </c>
    </row>
    <row r="266" spans="1:10" ht="36.75" customHeight="1">
      <c r="A266" s="78" t="s">
        <v>292</v>
      </c>
      <c r="B266" s="153"/>
      <c r="C266" s="43" t="s">
        <v>94</v>
      </c>
      <c r="D266" s="43" t="s">
        <v>19</v>
      </c>
      <c r="E266" s="43" t="s">
        <v>242</v>
      </c>
      <c r="F266" s="43" t="s">
        <v>291</v>
      </c>
      <c r="G266" s="84">
        <f>прил.4!H103</f>
        <v>20848</v>
      </c>
      <c r="H266" s="44">
        <f t="shared" si="9"/>
        <v>20848</v>
      </c>
    </row>
    <row r="267" spans="1:10" ht="44.25" customHeight="1">
      <c r="A267" s="78" t="s">
        <v>239</v>
      </c>
      <c r="B267" s="153"/>
      <c r="C267" s="43" t="s">
        <v>94</v>
      </c>
      <c r="D267" s="43" t="s">
        <v>19</v>
      </c>
      <c r="E267" s="43" t="s">
        <v>243</v>
      </c>
      <c r="F267" s="43"/>
      <c r="G267" s="84" t="e">
        <f>G268</f>
        <v>#REF!</v>
      </c>
      <c r="H267" s="44" t="e">
        <f t="shared" si="9"/>
        <v>#REF!</v>
      </c>
    </row>
    <row r="268" spans="1:10" ht="39.75" customHeight="1">
      <c r="A268" s="78" t="s">
        <v>292</v>
      </c>
      <c r="B268" s="153"/>
      <c r="C268" s="43" t="s">
        <v>94</v>
      </c>
      <c r="D268" s="43" t="s">
        <v>19</v>
      </c>
      <c r="E268" s="43" t="s">
        <v>243</v>
      </c>
      <c r="F268" s="43" t="s">
        <v>291</v>
      </c>
      <c r="G268" s="84" t="e">
        <f>прил.4!#REF!</f>
        <v>#REF!</v>
      </c>
      <c r="H268" s="44" t="e">
        <f t="shared" si="9"/>
        <v>#REF!</v>
      </c>
    </row>
    <row r="269" spans="1:10" ht="18" customHeight="1">
      <c r="A269" s="78" t="s">
        <v>244</v>
      </c>
      <c r="B269" s="153"/>
      <c r="C269" s="43" t="s">
        <v>94</v>
      </c>
      <c r="D269" s="43" t="s">
        <v>89</v>
      </c>
      <c r="E269" s="43"/>
      <c r="F269" s="154"/>
      <c r="G269" s="84">
        <f>G270</f>
        <v>4654.5</v>
      </c>
      <c r="H269" s="44">
        <f t="shared" si="9"/>
        <v>4654.5</v>
      </c>
    </row>
    <row r="270" spans="1:10" ht="44.25" customHeight="1">
      <c r="A270" s="78" t="s">
        <v>386</v>
      </c>
      <c r="B270" s="153"/>
      <c r="C270" s="43" t="s">
        <v>94</v>
      </c>
      <c r="D270" s="43" t="s">
        <v>89</v>
      </c>
      <c r="E270" s="43" t="s">
        <v>245</v>
      </c>
      <c r="F270" s="154"/>
      <c r="G270" s="84">
        <f>G271</f>
        <v>4654.5</v>
      </c>
      <c r="H270" s="44">
        <f>H271</f>
        <v>4654.5</v>
      </c>
    </row>
    <row r="271" spans="1:10" ht="20.25" customHeight="1">
      <c r="A271" s="78" t="s">
        <v>209</v>
      </c>
      <c r="B271" s="153"/>
      <c r="C271" s="43" t="s">
        <v>94</v>
      </c>
      <c r="D271" s="43" t="s">
        <v>89</v>
      </c>
      <c r="E271" s="43" t="s">
        <v>245</v>
      </c>
      <c r="F271" s="43" t="s">
        <v>171</v>
      </c>
      <c r="G271" s="84">
        <v>4654.5</v>
      </c>
      <c r="H271" s="44">
        <v>4654.5</v>
      </c>
      <c r="J271" s="9" t="s">
        <v>371</v>
      </c>
    </row>
    <row r="272" spans="1:10" ht="38.25">
      <c r="A272" s="102" t="s">
        <v>120</v>
      </c>
      <c r="B272" s="108">
        <v>875</v>
      </c>
      <c r="C272" s="77"/>
      <c r="D272" s="77"/>
      <c r="E272" s="77"/>
      <c r="F272" s="77"/>
      <c r="G272" s="85" t="e">
        <f>G273+G279</f>
        <v>#REF!</v>
      </c>
      <c r="H272" s="85" t="e">
        <f>H273+H279</f>
        <v>#REF!</v>
      </c>
      <c r="J272" s="9" t="s">
        <v>371</v>
      </c>
    </row>
    <row r="273" spans="1:10">
      <c r="A273" s="78" t="s">
        <v>63</v>
      </c>
      <c r="B273" s="153"/>
      <c r="C273" s="43" t="s">
        <v>64</v>
      </c>
      <c r="D273" s="43"/>
      <c r="E273" s="43"/>
      <c r="F273" s="43"/>
      <c r="G273" s="84" t="e">
        <f>G274</f>
        <v>#REF!</v>
      </c>
      <c r="H273" s="44" t="e">
        <f>G273*105%</f>
        <v>#REF!</v>
      </c>
      <c r="J273" s="9" t="s">
        <v>371</v>
      </c>
    </row>
    <row r="274" spans="1:10" ht="25.5">
      <c r="A274" s="78" t="s">
        <v>70</v>
      </c>
      <c r="B274" s="153"/>
      <c r="C274" s="43" t="s">
        <v>64</v>
      </c>
      <c r="D274" s="43" t="s">
        <v>50</v>
      </c>
      <c r="E274" s="43" t="s">
        <v>71</v>
      </c>
      <c r="F274" s="43"/>
      <c r="G274" s="84" t="e">
        <f>G275</f>
        <v>#REF!</v>
      </c>
      <c r="H274" s="44" t="e">
        <f>G274*105%</f>
        <v>#REF!</v>
      </c>
      <c r="J274" s="9" t="s">
        <v>371</v>
      </c>
    </row>
    <row r="275" spans="1:10" ht="29.25" customHeight="1">
      <c r="A275" s="78" t="s">
        <v>36</v>
      </c>
      <c r="B275" s="153"/>
      <c r="C275" s="43" t="s">
        <v>64</v>
      </c>
      <c r="D275" s="43" t="s">
        <v>50</v>
      </c>
      <c r="E275" s="43" t="s">
        <v>72</v>
      </c>
      <c r="F275" s="43"/>
      <c r="G275" s="84" t="e">
        <f>G276+G277+G278</f>
        <v>#REF!</v>
      </c>
      <c r="H275" s="84" t="e">
        <f>H276+H277+H278-50006.4</f>
        <v>#REF!</v>
      </c>
      <c r="J275" s="9" t="s">
        <v>371</v>
      </c>
    </row>
    <row r="276" spans="1:10" ht="25.5">
      <c r="A276" s="78" t="s">
        <v>169</v>
      </c>
      <c r="B276" s="153"/>
      <c r="C276" s="43" t="s">
        <v>64</v>
      </c>
      <c r="D276" s="43" t="s">
        <v>50</v>
      </c>
      <c r="E276" s="43" t="s">
        <v>72</v>
      </c>
      <c r="F276" s="43" t="s">
        <v>171</v>
      </c>
      <c r="G276" s="84" t="e">
        <f>прил.4!#REF!*105.5%</f>
        <v>#REF!</v>
      </c>
      <c r="H276" s="44" t="e">
        <f>G276*105.5%</f>
        <v>#REF!</v>
      </c>
      <c r="J276" s="9" t="s">
        <v>371</v>
      </c>
    </row>
    <row r="277" spans="1:10" ht="33.75" customHeight="1">
      <c r="A277" s="78" t="s">
        <v>170</v>
      </c>
      <c r="B277" s="153"/>
      <c r="C277" s="43" t="s">
        <v>64</v>
      </c>
      <c r="D277" s="43" t="s">
        <v>50</v>
      </c>
      <c r="E277" s="43" t="s">
        <v>72</v>
      </c>
      <c r="F277" s="43" t="s">
        <v>168</v>
      </c>
      <c r="G277" s="84" t="e">
        <f>прил.4!#REF!*105.5%</f>
        <v>#REF!</v>
      </c>
      <c r="H277" s="44" t="e">
        <f>G277*105.5%</f>
        <v>#REF!</v>
      </c>
      <c r="J277" s="9" t="s">
        <v>371</v>
      </c>
    </row>
    <row r="278" spans="1:10" ht="34.5" customHeight="1">
      <c r="A278" s="78" t="s">
        <v>264</v>
      </c>
      <c r="B278" s="153"/>
      <c r="C278" s="43" t="s">
        <v>64</v>
      </c>
      <c r="D278" s="43" t="s">
        <v>50</v>
      </c>
      <c r="E278" s="43" t="s">
        <v>72</v>
      </c>
      <c r="F278" s="43" t="s">
        <v>189</v>
      </c>
      <c r="G278" s="84" t="e">
        <f>прил.4!#REF!*105.5%</f>
        <v>#REF!</v>
      </c>
      <c r="H278" s="44" t="e">
        <f>G278*105.5%</f>
        <v>#REF!</v>
      </c>
      <c r="J278" s="9" t="s">
        <v>371</v>
      </c>
    </row>
    <row r="279" spans="1:10" ht="17.25" customHeight="1">
      <c r="A279" s="78" t="s">
        <v>137</v>
      </c>
      <c r="B279" s="153"/>
      <c r="C279" s="43" t="s">
        <v>22</v>
      </c>
      <c r="D279" s="43"/>
      <c r="E279" s="43"/>
      <c r="F279" s="43"/>
      <c r="G279" s="84">
        <f>G280+G284</f>
        <v>6918.0244999999995</v>
      </c>
      <c r="H279" s="84">
        <f>H280+H284</f>
        <v>3063.9257249999996</v>
      </c>
    </row>
    <row r="280" spans="1:10" ht="22.5" customHeight="1">
      <c r="A280" s="78" t="s">
        <v>138</v>
      </c>
      <c r="B280" s="153"/>
      <c r="C280" s="43" t="s">
        <v>22</v>
      </c>
      <c r="D280" s="43" t="s">
        <v>10</v>
      </c>
      <c r="E280" s="43"/>
      <c r="F280" s="43"/>
      <c r="G280" s="84">
        <f>G281</f>
        <v>4000</v>
      </c>
      <c r="H280" s="44">
        <f>H281</f>
        <v>0</v>
      </c>
    </row>
    <row r="281" spans="1:10" ht="42" customHeight="1">
      <c r="A281" s="78" t="s">
        <v>458</v>
      </c>
      <c r="B281" s="153"/>
      <c r="C281" s="43" t="s">
        <v>22</v>
      </c>
      <c r="D281" s="43" t="s">
        <v>10</v>
      </c>
      <c r="E281" s="43" t="s">
        <v>330</v>
      </c>
      <c r="F281" s="43"/>
      <c r="G281" s="84">
        <f>G282</f>
        <v>4000</v>
      </c>
      <c r="H281" s="44">
        <v>0</v>
      </c>
    </row>
    <row r="282" spans="1:10" ht="33.75" customHeight="1">
      <c r="A282" s="78" t="s">
        <v>170</v>
      </c>
      <c r="B282" s="153"/>
      <c r="C282" s="43" t="s">
        <v>22</v>
      </c>
      <c r="D282" s="43" t="s">
        <v>10</v>
      </c>
      <c r="E282" s="43" t="s">
        <v>330</v>
      </c>
      <c r="F282" s="43" t="s">
        <v>168</v>
      </c>
      <c r="G282" s="84">
        <v>4000</v>
      </c>
      <c r="H282" s="44">
        <v>0</v>
      </c>
    </row>
    <row r="283" spans="1:10" ht="102">
      <c r="A283" s="78" t="s">
        <v>457</v>
      </c>
      <c r="B283" s="153"/>
      <c r="C283" s="43" t="s">
        <v>22</v>
      </c>
      <c r="D283" s="43" t="s">
        <v>44</v>
      </c>
      <c r="E283" s="43" t="s">
        <v>78</v>
      </c>
      <c r="F283" s="43"/>
      <c r="G283" s="84">
        <f>G284</f>
        <v>2918.0244999999995</v>
      </c>
      <c r="H283" s="44">
        <f>G283*105%</f>
        <v>3063.9257249999996</v>
      </c>
    </row>
    <row r="284" spans="1:10" ht="25.5">
      <c r="A284" s="78" t="s">
        <v>36</v>
      </c>
      <c r="B284" s="108"/>
      <c r="C284" s="43" t="s">
        <v>22</v>
      </c>
      <c r="D284" s="43" t="s">
        <v>44</v>
      </c>
      <c r="E284" s="43" t="s">
        <v>304</v>
      </c>
      <c r="F284" s="43"/>
      <c r="G284" s="84">
        <f>G285+G286+G287</f>
        <v>2918.0244999999995</v>
      </c>
      <c r="H284" s="44">
        <f>G284*105%</f>
        <v>3063.9257249999996</v>
      </c>
    </row>
    <row r="285" spans="1:10" ht="25.5">
      <c r="A285" s="78" t="s">
        <v>169</v>
      </c>
      <c r="B285" s="153"/>
      <c r="C285" s="43" t="s">
        <v>22</v>
      </c>
      <c r="D285" s="43" t="s">
        <v>44</v>
      </c>
      <c r="E285" s="43" t="s">
        <v>304</v>
      </c>
      <c r="F285" s="43" t="s">
        <v>171</v>
      </c>
      <c r="G285" s="84">
        <f>прил.4!H374*105.5%</f>
        <v>2087.3174999999997</v>
      </c>
      <c r="H285" s="44">
        <f>G285*105.5%</f>
        <v>2202.1199624999995</v>
      </c>
    </row>
    <row r="286" spans="1:10" ht="38.25">
      <c r="A286" s="78" t="s">
        <v>170</v>
      </c>
      <c r="B286" s="153"/>
      <c r="C286" s="43" t="s">
        <v>22</v>
      </c>
      <c r="D286" s="43" t="s">
        <v>44</v>
      </c>
      <c r="E286" s="43" t="s">
        <v>304</v>
      </c>
      <c r="F286" s="43" t="s">
        <v>168</v>
      </c>
      <c r="G286" s="84">
        <f>прил.4!H375*105.5%</f>
        <v>829.65199999999993</v>
      </c>
      <c r="H286" s="44">
        <f>G286*105.5%</f>
        <v>875.28285999999991</v>
      </c>
    </row>
    <row r="287" spans="1:10" ht="27" customHeight="1">
      <c r="A287" s="78" t="s">
        <v>264</v>
      </c>
      <c r="B287" s="153"/>
      <c r="C287" s="43" t="s">
        <v>22</v>
      </c>
      <c r="D287" s="43" t="s">
        <v>44</v>
      </c>
      <c r="E287" s="43" t="s">
        <v>304</v>
      </c>
      <c r="F287" s="43" t="s">
        <v>189</v>
      </c>
      <c r="G287" s="84">
        <f>прил.4!H376*105.5%</f>
        <v>1.0549999999999999</v>
      </c>
      <c r="H287" s="44">
        <f>G287*105.5%</f>
        <v>1.1130249999999999</v>
      </c>
    </row>
    <row r="288" spans="1:10" ht="38.25">
      <c r="A288" s="102" t="s">
        <v>121</v>
      </c>
      <c r="B288" s="108">
        <v>892</v>
      </c>
      <c r="C288" s="77"/>
      <c r="D288" s="77"/>
      <c r="E288" s="77"/>
      <c r="F288" s="77"/>
      <c r="G288" s="85">
        <f>G289+G303</f>
        <v>84816.918999999994</v>
      </c>
      <c r="H288" s="74">
        <f>H289+H303</f>
        <v>22775.859949999998</v>
      </c>
      <c r="J288" s="22"/>
    </row>
    <row r="289" spans="1:8" ht="20.25" customHeight="1">
      <c r="A289" s="48" t="s">
        <v>9</v>
      </c>
      <c r="B289" s="153"/>
      <c r="C289" s="43" t="s">
        <v>10</v>
      </c>
      <c r="D289" s="154"/>
      <c r="E289" s="154"/>
      <c r="F289" s="154"/>
      <c r="G289" s="84">
        <f>G290+G299</f>
        <v>22000.818999999996</v>
      </c>
      <c r="H289" s="84">
        <f>H290+H299</f>
        <v>22775.859949999998</v>
      </c>
    </row>
    <row r="290" spans="1:8" ht="51">
      <c r="A290" s="48" t="s">
        <v>133</v>
      </c>
      <c r="B290" s="153"/>
      <c r="C290" s="43" t="s">
        <v>10</v>
      </c>
      <c r="D290" s="43" t="s">
        <v>89</v>
      </c>
      <c r="E290" s="43"/>
      <c r="F290" s="43"/>
      <c r="G290" s="84">
        <f>G291</f>
        <v>15500.818999999998</v>
      </c>
      <c r="H290" s="44">
        <f>G290*105%</f>
        <v>16275.859949999998</v>
      </c>
    </row>
    <row r="291" spans="1:8" ht="63.75">
      <c r="A291" s="78" t="s">
        <v>13</v>
      </c>
      <c r="B291" s="153"/>
      <c r="C291" s="43" t="s">
        <v>10</v>
      </c>
      <c r="D291" s="43" t="s">
        <v>89</v>
      </c>
      <c r="E291" s="43" t="s">
        <v>14</v>
      </c>
      <c r="F291" s="43"/>
      <c r="G291" s="84">
        <f>G292</f>
        <v>15500.818999999998</v>
      </c>
      <c r="H291" s="44">
        <f>G291*105%</f>
        <v>16275.859949999998</v>
      </c>
    </row>
    <row r="292" spans="1:8" ht="18" customHeight="1">
      <c r="A292" s="48" t="s">
        <v>15</v>
      </c>
      <c r="B292" s="153"/>
      <c r="C292" s="43" t="s">
        <v>10</v>
      </c>
      <c r="D292" s="43" t="s">
        <v>89</v>
      </c>
      <c r="E292" s="43" t="s">
        <v>16</v>
      </c>
      <c r="F292" s="43"/>
      <c r="G292" s="84">
        <f>G293</f>
        <v>15500.818999999998</v>
      </c>
      <c r="H292" s="44">
        <f>G292*105%</f>
        <v>16275.859949999998</v>
      </c>
    </row>
    <row r="293" spans="1:8" ht="19.5" customHeight="1">
      <c r="A293" s="48" t="s">
        <v>15</v>
      </c>
      <c r="B293" s="153"/>
      <c r="C293" s="43" t="s">
        <v>10</v>
      </c>
      <c r="D293" s="43" t="s">
        <v>89</v>
      </c>
      <c r="E293" s="43" t="s">
        <v>17</v>
      </c>
      <c r="F293" s="43"/>
      <c r="G293" s="84">
        <f>G294+G295+G296+G297+G298</f>
        <v>15500.818999999998</v>
      </c>
      <c r="H293" s="84">
        <f>H294+H295+H296+H297+H298</f>
        <v>16353.364044999997</v>
      </c>
    </row>
    <row r="294" spans="1:8" ht="25.5">
      <c r="A294" s="78" t="s">
        <v>169</v>
      </c>
      <c r="B294" s="153"/>
      <c r="C294" s="43" t="s">
        <v>10</v>
      </c>
      <c r="D294" s="43" t="s">
        <v>89</v>
      </c>
      <c r="E294" s="43" t="s">
        <v>17</v>
      </c>
      <c r="F294" s="43" t="s">
        <v>167</v>
      </c>
      <c r="G294" s="84">
        <f>прил.4!H381*105.5%</f>
        <v>13151.418999999998</v>
      </c>
      <c r="H294" s="44">
        <f>G294*105.5%</f>
        <v>13874.747044999996</v>
      </c>
    </row>
    <row r="295" spans="1:8" ht="25.5">
      <c r="A295" s="78" t="s">
        <v>365</v>
      </c>
      <c r="B295" s="153"/>
      <c r="C295" s="43" t="s">
        <v>10</v>
      </c>
      <c r="D295" s="43" t="s">
        <v>89</v>
      </c>
      <c r="E295" s="43" t="s">
        <v>17</v>
      </c>
      <c r="F295" s="43" t="s">
        <v>203</v>
      </c>
      <c r="G295" s="84">
        <v>209.2</v>
      </c>
      <c r="H295" s="44">
        <f>G295*105.5%</f>
        <v>220.70599999999999</v>
      </c>
    </row>
    <row r="296" spans="1:8" ht="33" customHeight="1">
      <c r="A296" s="78" t="s">
        <v>170</v>
      </c>
      <c r="B296" s="153"/>
      <c r="C296" s="43" t="s">
        <v>10</v>
      </c>
      <c r="D296" s="43" t="s">
        <v>89</v>
      </c>
      <c r="E296" s="43" t="s">
        <v>17</v>
      </c>
      <c r="F296" s="43" t="s">
        <v>168</v>
      </c>
      <c r="G296" s="84">
        <f>858.1+1271.2</f>
        <v>2129.3000000000002</v>
      </c>
      <c r="H296" s="44">
        <f>G296*105.5%</f>
        <v>2246.4115000000002</v>
      </c>
    </row>
    <row r="297" spans="1:8" ht="28.5" customHeight="1">
      <c r="A297" s="78" t="s">
        <v>264</v>
      </c>
      <c r="B297" s="153"/>
      <c r="C297" s="43" t="s">
        <v>10</v>
      </c>
      <c r="D297" s="43" t="s">
        <v>89</v>
      </c>
      <c r="E297" s="43" t="s">
        <v>17</v>
      </c>
      <c r="F297" s="43" t="s">
        <v>189</v>
      </c>
      <c r="G297" s="84">
        <v>4.3</v>
      </c>
      <c r="H297" s="44">
        <f>G297*105.5%</f>
        <v>4.5364999999999993</v>
      </c>
    </row>
    <row r="298" spans="1:8" ht="29.25" customHeight="1">
      <c r="A298" s="78" t="s">
        <v>206</v>
      </c>
      <c r="B298" s="153"/>
      <c r="C298" s="43" t="s">
        <v>10</v>
      </c>
      <c r="D298" s="43" t="s">
        <v>89</v>
      </c>
      <c r="E298" s="43" t="s">
        <v>17</v>
      </c>
      <c r="F298" s="43" t="s">
        <v>192</v>
      </c>
      <c r="G298" s="84">
        <v>6.6</v>
      </c>
      <c r="H298" s="44">
        <f>G298*105.5%</f>
        <v>6.9629999999999992</v>
      </c>
    </row>
    <row r="299" spans="1:8" ht="16.5" customHeight="1">
      <c r="A299" s="78" t="s">
        <v>23</v>
      </c>
      <c r="B299" s="153"/>
      <c r="C299" s="43" t="s">
        <v>10</v>
      </c>
      <c r="D299" s="43" t="s">
        <v>22</v>
      </c>
      <c r="E299" s="43"/>
      <c r="F299" s="43"/>
      <c r="G299" s="84">
        <f>G301</f>
        <v>6500</v>
      </c>
      <c r="H299" s="44">
        <f>H300</f>
        <v>6500</v>
      </c>
    </row>
    <row r="300" spans="1:8" ht="15" customHeight="1">
      <c r="A300" s="78" t="s">
        <v>23</v>
      </c>
      <c r="B300" s="153"/>
      <c r="C300" s="43" t="s">
        <v>10</v>
      </c>
      <c r="D300" s="43" t="s">
        <v>22</v>
      </c>
      <c r="E300" s="43" t="s">
        <v>25</v>
      </c>
      <c r="F300" s="43"/>
      <c r="G300" s="84">
        <f>G301</f>
        <v>6500</v>
      </c>
      <c r="H300" s="44">
        <f>H301</f>
        <v>6500</v>
      </c>
    </row>
    <row r="301" spans="1:8" ht="20.25" customHeight="1">
      <c r="A301" s="78" t="s">
        <v>122</v>
      </c>
      <c r="B301" s="153"/>
      <c r="C301" s="43" t="s">
        <v>10</v>
      </c>
      <c r="D301" s="43" t="s">
        <v>22</v>
      </c>
      <c r="E301" s="43" t="s">
        <v>27</v>
      </c>
      <c r="F301" s="43"/>
      <c r="G301" s="84">
        <v>6500</v>
      </c>
      <c r="H301" s="44">
        <v>6500</v>
      </c>
    </row>
    <row r="302" spans="1:8" ht="25.5">
      <c r="A302" s="48" t="s">
        <v>178</v>
      </c>
      <c r="B302" s="153"/>
      <c r="C302" s="43" t="s">
        <v>10</v>
      </c>
      <c r="D302" s="43" t="s">
        <v>22</v>
      </c>
      <c r="E302" s="43" t="s">
        <v>27</v>
      </c>
      <c r="F302" s="43" t="s">
        <v>179</v>
      </c>
      <c r="G302" s="84">
        <v>6500</v>
      </c>
      <c r="H302" s="44">
        <v>6500</v>
      </c>
    </row>
    <row r="303" spans="1:8" ht="25.5">
      <c r="A303" s="48" t="s">
        <v>162</v>
      </c>
      <c r="B303" s="153"/>
      <c r="C303" s="43" t="s">
        <v>154</v>
      </c>
      <c r="D303" s="43"/>
      <c r="E303" s="43"/>
      <c r="F303" s="43"/>
      <c r="G303" s="84">
        <f t="shared" ref="G303:H306" si="10">G304</f>
        <v>62816.1</v>
      </c>
      <c r="H303" s="44">
        <f t="shared" si="10"/>
        <v>0</v>
      </c>
    </row>
    <row r="304" spans="1:8" ht="25.5">
      <c r="A304" s="78" t="s">
        <v>166</v>
      </c>
      <c r="B304" s="108"/>
      <c r="C304" s="43" t="s">
        <v>154</v>
      </c>
      <c r="D304" s="43" t="s">
        <v>10</v>
      </c>
      <c r="E304" s="43"/>
      <c r="F304" s="43"/>
      <c r="G304" s="84">
        <f t="shared" si="10"/>
        <v>62816.1</v>
      </c>
      <c r="H304" s="44">
        <f t="shared" si="10"/>
        <v>0</v>
      </c>
    </row>
    <row r="305" spans="1:10" ht="25.5">
      <c r="A305" s="78" t="s">
        <v>161</v>
      </c>
      <c r="B305" s="108"/>
      <c r="C305" s="43" t="s">
        <v>154</v>
      </c>
      <c r="D305" s="43" t="s">
        <v>10</v>
      </c>
      <c r="E305" s="43" t="s">
        <v>158</v>
      </c>
      <c r="F305" s="43"/>
      <c r="G305" s="84">
        <f t="shared" si="10"/>
        <v>62816.1</v>
      </c>
      <c r="H305" s="44">
        <f t="shared" si="10"/>
        <v>0</v>
      </c>
    </row>
    <row r="306" spans="1:10" ht="25.5">
      <c r="A306" s="78" t="s">
        <v>160</v>
      </c>
      <c r="B306" s="108"/>
      <c r="C306" s="43" t="s">
        <v>154</v>
      </c>
      <c r="D306" s="43" t="s">
        <v>10</v>
      </c>
      <c r="E306" s="43" t="s">
        <v>159</v>
      </c>
      <c r="F306" s="43"/>
      <c r="G306" s="84">
        <f t="shared" si="10"/>
        <v>62816.1</v>
      </c>
      <c r="H306" s="44">
        <f t="shared" si="10"/>
        <v>0</v>
      </c>
    </row>
    <row r="307" spans="1:10" ht="25.5">
      <c r="A307" s="78" t="s">
        <v>188</v>
      </c>
      <c r="B307" s="108"/>
      <c r="C307" s="43" t="s">
        <v>154</v>
      </c>
      <c r="D307" s="43" t="s">
        <v>10</v>
      </c>
      <c r="E307" s="43" t="s">
        <v>159</v>
      </c>
      <c r="F307" s="43" t="s">
        <v>187</v>
      </c>
      <c r="G307" s="84">
        <v>62816.1</v>
      </c>
      <c r="H307" s="44">
        <v>0</v>
      </c>
    </row>
    <row r="308" spans="1:10" ht="18.75" customHeight="1">
      <c r="A308" s="102" t="s">
        <v>104</v>
      </c>
      <c r="B308" s="154"/>
      <c r="C308" s="154"/>
      <c r="D308" s="154"/>
      <c r="E308" s="154"/>
      <c r="F308" s="154"/>
      <c r="G308" s="85" t="e">
        <f>G13+G106+G124+G139+G148+G192+G202+G272+G288</f>
        <v>#REF!</v>
      </c>
      <c r="H308" s="85" t="e">
        <f>H13+H106+H124+H139+H148+H192+H202+H272+H288</f>
        <v>#REF!</v>
      </c>
      <c r="I308" s="22" t="s">
        <v>371</v>
      </c>
      <c r="J308" s="22"/>
    </row>
    <row r="309" spans="1:10">
      <c r="G309" s="104"/>
      <c r="H309" s="42"/>
    </row>
    <row r="310" spans="1:10">
      <c r="G310" s="104"/>
      <c r="H310" s="104"/>
      <c r="J310" s="22"/>
    </row>
    <row r="311" spans="1:10">
      <c r="G311" s="104"/>
      <c r="H311" s="42"/>
    </row>
    <row r="312" spans="1:10" s="27" customFormat="1" ht="15.75">
      <c r="A312" s="379"/>
      <c r="B312" s="379"/>
      <c r="C312" s="379"/>
      <c r="D312" s="159"/>
      <c r="E312" s="159"/>
      <c r="F312" s="159"/>
      <c r="G312" s="383"/>
      <c r="H312" s="383"/>
      <c r="I312" s="110"/>
    </row>
    <row r="313" spans="1:10" s="27" customFormat="1" ht="15.75">
      <c r="A313" s="382" t="s">
        <v>430</v>
      </c>
      <c r="B313" s="382"/>
      <c r="C313" s="382"/>
      <c r="D313" s="382"/>
      <c r="E313" s="380"/>
      <c r="F313" s="380"/>
      <c r="G313" s="343" t="s">
        <v>427</v>
      </c>
      <c r="H313" s="343"/>
    </row>
    <row r="314" spans="1:10" ht="15.75">
      <c r="A314" s="377"/>
      <c r="B314" s="378"/>
      <c r="C314" s="378"/>
      <c r="D314" s="378"/>
      <c r="E314" s="378"/>
      <c r="F314" s="378"/>
      <c r="G314" s="378"/>
      <c r="H314" s="378"/>
    </row>
    <row r="340" spans="1:8">
      <c r="A340" s="9"/>
      <c r="B340" s="9"/>
      <c r="C340" s="9"/>
      <c r="D340" s="9"/>
      <c r="E340" s="9"/>
      <c r="F340" s="9"/>
      <c r="G340" s="9"/>
      <c r="H340" s="9"/>
    </row>
    <row r="341" spans="1:8">
      <c r="A341" s="9"/>
      <c r="B341" s="9"/>
      <c r="C341" s="9"/>
      <c r="D341" s="9"/>
      <c r="E341" s="9"/>
      <c r="F341" s="9"/>
      <c r="G341" s="9"/>
      <c r="H341" s="9"/>
    </row>
    <row r="342" spans="1:8">
      <c r="A342" s="9"/>
      <c r="B342" s="9"/>
      <c r="C342" s="9"/>
      <c r="D342" s="9"/>
      <c r="E342" s="9"/>
      <c r="F342" s="9"/>
      <c r="G342" s="9"/>
      <c r="H342" s="9"/>
    </row>
    <row r="343" spans="1:8">
      <c r="A343" s="9"/>
      <c r="B343" s="9"/>
      <c r="C343" s="9"/>
      <c r="D343" s="9"/>
      <c r="E343" s="9"/>
      <c r="F343" s="9"/>
      <c r="G343" s="9"/>
      <c r="H343" s="9"/>
    </row>
    <row r="344" spans="1:8">
      <c r="A344" s="9"/>
      <c r="B344" s="9"/>
      <c r="C344" s="9"/>
      <c r="D344" s="9"/>
      <c r="E344" s="9"/>
      <c r="F344" s="9"/>
      <c r="G344" s="9"/>
      <c r="H344" s="9"/>
    </row>
    <row r="345" spans="1:8">
      <c r="A345" s="9"/>
      <c r="B345" s="9"/>
      <c r="C345" s="9"/>
      <c r="D345" s="9"/>
      <c r="E345" s="9"/>
      <c r="F345" s="9"/>
      <c r="G345" s="9"/>
      <c r="H345" s="9"/>
    </row>
    <row r="346" spans="1:8">
      <c r="A346" s="9"/>
      <c r="B346" s="9"/>
      <c r="C346" s="9"/>
      <c r="D346" s="9"/>
      <c r="E346" s="9"/>
      <c r="F346" s="9"/>
      <c r="G346" s="9"/>
      <c r="H346" s="9"/>
    </row>
    <row r="347" spans="1:8">
      <c r="A347" s="9"/>
      <c r="B347" s="9"/>
      <c r="C347" s="9"/>
      <c r="D347" s="9"/>
      <c r="E347" s="9"/>
      <c r="F347" s="9"/>
      <c r="G347" s="9"/>
      <c r="H347" s="9"/>
    </row>
    <row r="348" spans="1:8">
      <c r="A348" s="9"/>
      <c r="B348" s="9"/>
      <c r="C348" s="9"/>
      <c r="D348" s="9"/>
      <c r="E348" s="9"/>
      <c r="F348" s="9"/>
      <c r="G348" s="9"/>
      <c r="H348" s="9"/>
    </row>
    <row r="349" spans="1:8">
      <c r="A349" s="9"/>
      <c r="B349" s="9"/>
      <c r="C349" s="9"/>
      <c r="D349" s="9"/>
      <c r="E349" s="9"/>
      <c r="F349" s="9"/>
      <c r="G349" s="9"/>
      <c r="H349" s="9"/>
    </row>
    <row r="350" spans="1:8">
      <c r="A350" s="9"/>
      <c r="B350" s="9"/>
      <c r="C350" s="9"/>
      <c r="D350" s="9"/>
      <c r="E350" s="9"/>
      <c r="F350" s="9"/>
      <c r="G350" s="9"/>
      <c r="H350" s="9"/>
    </row>
    <row r="351" spans="1:8">
      <c r="A351" s="9"/>
      <c r="B351" s="9"/>
      <c r="C351" s="9"/>
      <c r="D351" s="9"/>
      <c r="E351" s="9"/>
      <c r="F351" s="9"/>
      <c r="G351" s="9"/>
      <c r="H351" s="9"/>
    </row>
    <row r="352" spans="1:8">
      <c r="A352" s="9"/>
      <c r="B352" s="9"/>
      <c r="C352" s="9"/>
      <c r="D352" s="9"/>
      <c r="E352" s="9"/>
      <c r="F352" s="9"/>
      <c r="G352" s="9"/>
      <c r="H352" s="9"/>
    </row>
    <row r="353" spans="1:8">
      <c r="A353" s="9"/>
      <c r="B353" s="9"/>
      <c r="C353" s="9"/>
      <c r="D353" s="9"/>
      <c r="E353" s="9"/>
      <c r="F353" s="9"/>
      <c r="G353" s="9"/>
      <c r="H353" s="9"/>
    </row>
    <row r="354" spans="1:8">
      <c r="A354" s="9"/>
      <c r="B354" s="9"/>
      <c r="C354" s="9"/>
      <c r="D354" s="9"/>
      <c r="E354" s="9"/>
      <c r="F354" s="9"/>
      <c r="G354" s="9"/>
      <c r="H354" s="9"/>
    </row>
    <row r="355" spans="1:8">
      <c r="A355" s="9"/>
      <c r="B355" s="9"/>
      <c r="C355" s="9"/>
      <c r="D355" s="9"/>
      <c r="E355" s="9"/>
      <c r="F355" s="9"/>
      <c r="G355" s="9"/>
      <c r="H355" s="9"/>
    </row>
    <row r="356" spans="1:8">
      <c r="A356" s="9"/>
      <c r="B356" s="9"/>
      <c r="C356" s="9"/>
      <c r="D356" s="9"/>
      <c r="E356" s="9"/>
      <c r="F356" s="9"/>
      <c r="G356" s="9"/>
      <c r="H356" s="9"/>
    </row>
    <row r="357" spans="1:8">
      <c r="A357" s="9"/>
      <c r="B357" s="9"/>
      <c r="C357" s="9"/>
      <c r="D357" s="9"/>
      <c r="E357" s="9"/>
      <c r="F357" s="9"/>
      <c r="G357" s="9"/>
      <c r="H357" s="9"/>
    </row>
    <row r="358" spans="1:8">
      <c r="A358" s="9"/>
      <c r="B358" s="9"/>
      <c r="C358" s="9"/>
      <c r="D358" s="9"/>
      <c r="E358" s="9"/>
      <c r="F358" s="9"/>
      <c r="G358" s="9"/>
      <c r="H358" s="9"/>
    </row>
    <row r="359" spans="1:8">
      <c r="A359" s="9"/>
      <c r="B359" s="9"/>
      <c r="C359" s="9"/>
      <c r="D359" s="9"/>
      <c r="E359" s="9"/>
      <c r="F359" s="9"/>
      <c r="G359" s="9"/>
      <c r="H359" s="9"/>
    </row>
    <row r="360" spans="1:8">
      <c r="A360" s="9"/>
      <c r="B360" s="9"/>
      <c r="C360" s="9"/>
      <c r="D360" s="9"/>
      <c r="E360" s="9"/>
      <c r="F360" s="9"/>
      <c r="G360" s="9"/>
      <c r="H360" s="9"/>
    </row>
    <row r="361" spans="1:8">
      <c r="A361" s="9"/>
      <c r="B361" s="9"/>
      <c r="C361" s="9"/>
      <c r="D361" s="9"/>
      <c r="E361" s="9"/>
      <c r="F361" s="9"/>
      <c r="G361" s="9"/>
      <c r="H361" s="9"/>
    </row>
    <row r="362" spans="1:8">
      <c r="A362" s="9"/>
      <c r="B362" s="9"/>
      <c r="C362" s="9"/>
      <c r="D362" s="9"/>
      <c r="E362" s="9"/>
      <c r="F362" s="9"/>
      <c r="G362" s="9"/>
      <c r="H362" s="9"/>
    </row>
    <row r="363" spans="1:8">
      <c r="A363" s="9"/>
      <c r="B363" s="9"/>
      <c r="C363" s="9"/>
      <c r="D363" s="9"/>
      <c r="E363" s="9"/>
      <c r="F363" s="9"/>
      <c r="G363" s="9"/>
      <c r="H363" s="9"/>
    </row>
    <row r="364" spans="1:8">
      <c r="A364" s="9"/>
      <c r="B364" s="9"/>
      <c r="C364" s="9"/>
      <c r="D364" s="9"/>
      <c r="E364" s="9"/>
      <c r="F364" s="9"/>
      <c r="G364" s="9"/>
      <c r="H364" s="9"/>
    </row>
    <row r="365" spans="1:8">
      <c r="A365" s="9"/>
      <c r="B365" s="9"/>
      <c r="C365" s="9"/>
      <c r="D365" s="9"/>
      <c r="E365" s="9"/>
      <c r="F365" s="9"/>
      <c r="G365" s="9"/>
      <c r="H365" s="9"/>
    </row>
    <row r="366" spans="1:8">
      <c r="A366" s="9"/>
      <c r="B366" s="9"/>
      <c r="C366" s="9"/>
      <c r="D366" s="9"/>
      <c r="E366" s="9"/>
      <c r="F366" s="9"/>
      <c r="G366" s="9"/>
      <c r="H366" s="9"/>
    </row>
    <row r="367" spans="1:8">
      <c r="A367" s="9"/>
      <c r="B367" s="9"/>
      <c r="C367" s="9"/>
      <c r="D367" s="9"/>
      <c r="E367" s="9"/>
      <c r="F367" s="9"/>
      <c r="G367" s="9"/>
      <c r="H367" s="9"/>
    </row>
    <row r="368" spans="1:8">
      <c r="A368" s="9"/>
      <c r="B368" s="9"/>
      <c r="C368" s="9"/>
      <c r="D368" s="9"/>
      <c r="E368" s="9"/>
      <c r="F368" s="9"/>
      <c r="G368" s="9"/>
      <c r="H368" s="9"/>
    </row>
    <row r="369" spans="1:8">
      <c r="A369" s="9"/>
      <c r="B369" s="9"/>
      <c r="C369" s="9"/>
      <c r="D369" s="9"/>
      <c r="E369" s="9"/>
      <c r="F369" s="9"/>
      <c r="G369" s="9"/>
      <c r="H369" s="9"/>
    </row>
    <row r="370" spans="1:8">
      <c r="A370" s="9"/>
      <c r="B370" s="9"/>
      <c r="C370" s="9"/>
      <c r="D370" s="9"/>
      <c r="E370" s="9"/>
      <c r="F370" s="9"/>
      <c r="G370" s="9"/>
      <c r="H370" s="9"/>
    </row>
    <row r="371" spans="1:8">
      <c r="A371" s="9"/>
      <c r="B371" s="9"/>
      <c r="C371" s="9"/>
      <c r="D371" s="9"/>
      <c r="E371" s="9"/>
      <c r="F371" s="9"/>
      <c r="G371" s="9"/>
      <c r="H371" s="9"/>
    </row>
    <row r="372" spans="1:8">
      <c r="A372" s="9"/>
      <c r="B372" s="9"/>
      <c r="C372" s="9"/>
      <c r="D372" s="9"/>
      <c r="E372" s="9"/>
      <c r="F372" s="9"/>
      <c r="G372" s="9"/>
      <c r="H372" s="9"/>
    </row>
    <row r="373" spans="1:8">
      <c r="A373" s="9"/>
      <c r="B373" s="9"/>
      <c r="C373" s="9"/>
      <c r="D373" s="9"/>
      <c r="E373" s="9"/>
      <c r="F373" s="9"/>
      <c r="G373" s="9"/>
      <c r="H373" s="9"/>
    </row>
    <row r="374" spans="1:8">
      <c r="A374" s="9"/>
      <c r="B374" s="9"/>
      <c r="C374" s="9"/>
      <c r="D374" s="9"/>
      <c r="E374" s="9"/>
      <c r="F374" s="9"/>
      <c r="G374" s="9"/>
      <c r="H374" s="9"/>
    </row>
    <row r="375" spans="1:8">
      <c r="A375" s="9"/>
      <c r="B375" s="9"/>
      <c r="C375" s="9"/>
      <c r="D375" s="9"/>
      <c r="E375" s="9"/>
      <c r="F375" s="9"/>
      <c r="G375" s="9"/>
      <c r="H375" s="9"/>
    </row>
    <row r="376" spans="1:8">
      <c r="A376" s="9"/>
      <c r="B376" s="9"/>
      <c r="C376" s="9"/>
      <c r="D376" s="9"/>
      <c r="E376" s="9"/>
      <c r="F376" s="9"/>
      <c r="G376" s="9"/>
      <c r="H376" s="9"/>
    </row>
    <row r="377" spans="1:8">
      <c r="A377" s="9"/>
      <c r="B377" s="9"/>
      <c r="C377" s="9"/>
      <c r="D377" s="9"/>
      <c r="E377" s="9"/>
      <c r="F377" s="9"/>
      <c r="G377" s="9"/>
      <c r="H377" s="9"/>
    </row>
    <row r="378" spans="1:8">
      <c r="A378" s="9"/>
      <c r="B378" s="9"/>
      <c r="C378" s="9"/>
      <c r="D378" s="9"/>
      <c r="E378" s="9"/>
      <c r="F378" s="9"/>
      <c r="G378" s="9"/>
      <c r="H378" s="9"/>
    </row>
    <row r="379" spans="1:8">
      <c r="A379" s="9"/>
      <c r="B379" s="9"/>
      <c r="C379" s="9"/>
      <c r="D379" s="9"/>
      <c r="E379" s="9"/>
      <c r="F379" s="9"/>
      <c r="G379" s="9"/>
      <c r="H379" s="9"/>
    </row>
    <row r="380" spans="1:8">
      <c r="A380" s="9"/>
      <c r="B380" s="9"/>
      <c r="C380" s="9"/>
      <c r="D380" s="9"/>
      <c r="E380" s="9"/>
      <c r="F380" s="9"/>
      <c r="G380" s="9"/>
      <c r="H380" s="9"/>
    </row>
    <row r="381" spans="1:8">
      <c r="A381" s="9"/>
      <c r="B381" s="9"/>
      <c r="C381" s="9"/>
      <c r="D381" s="9"/>
      <c r="E381" s="9"/>
      <c r="F381" s="9"/>
      <c r="G381" s="9"/>
      <c r="H381" s="9"/>
    </row>
    <row r="382" spans="1:8">
      <c r="A382" s="9"/>
      <c r="B382" s="9"/>
      <c r="C382" s="9"/>
      <c r="D382" s="9"/>
      <c r="E382" s="9"/>
      <c r="F382" s="9"/>
      <c r="G382" s="9"/>
      <c r="H382" s="9"/>
    </row>
    <row r="383" spans="1:8">
      <c r="A383" s="9"/>
      <c r="B383" s="9"/>
      <c r="C383" s="9"/>
      <c r="D383" s="9"/>
      <c r="E383" s="9"/>
      <c r="F383" s="9"/>
      <c r="G383" s="9"/>
      <c r="H383" s="9"/>
    </row>
    <row r="384" spans="1:8">
      <c r="A384" s="9"/>
      <c r="B384" s="9"/>
      <c r="C384" s="9"/>
      <c r="D384" s="9"/>
      <c r="E384" s="9"/>
      <c r="F384" s="9"/>
      <c r="G384" s="9"/>
      <c r="H384" s="9"/>
    </row>
    <row r="385" spans="1:8">
      <c r="A385" s="9"/>
      <c r="B385" s="9"/>
      <c r="C385" s="9"/>
      <c r="D385" s="9"/>
      <c r="E385" s="9"/>
      <c r="F385" s="9"/>
      <c r="G385" s="9"/>
      <c r="H385" s="9"/>
    </row>
    <row r="386" spans="1:8">
      <c r="A386" s="9"/>
      <c r="B386" s="9"/>
      <c r="C386" s="9"/>
      <c r="D386" s="9"/>
      <c r="E386" s="9"/>
      <c r="F386" s="9"/>
      <c r="G386" s="9"/>
      <c r="H386" s="9"/>
    </row>
    <row r="387" spans="1:8">
      <c r="A387" s="9"/>
      <c r="B387" s="9"/>
      <c r="C387" s="9"/>
      <c r="D387" s="9"/>
      <c r="E387" s="9"/>
      <c r="F387" s="9"/>
      <c r="G387" s="9"/>
      <c r="H387" s="9"/>
    </row>
    <row r="388" spans="1:8">
      <c r="A388" s="9"/>
      <c r="B388" s="9"/>
      <c r="C388" s="9"/>
      <c r="D388" s="9"/>
      <c r="E388" s="9"/>
      <c r="F388" s="9"/>
      <c r="G388" s="9"/>
      <c r="H388" s="9"/>
    </row>
    <row r="389" spans="1:8">
      <c r="A389" s="9"/>
      <c r="B389" s="9"/>
      <c r="C389" s="9"/>
      <c r="D389" s="9"/>
      <c r="E389" s="9"/>
      <c r="F389" s="9"/>
      <c r="G389" s="9"/>
      <c r="H389" s="9"/>
    </row>
    <row r="390" spans="1:8">
      <c r="A390" s="9"/>
      <c r="B390" s="9"/>
      <c r="C390" s="9"/>
      <c r="D390" s="9"/>
      <c r="E390" s="9"/>
      <c r="F390" s="9"/>
      <c r="G390" s="9"/>
      <c r="H390" s="9"/>
    </row>
    <row r="391" spans="1:8">
      <c r="A391" s="9"/>
      <c r="B391" s="9"/>
      <c r="C391" s="9"/>
      <c r="D391" s="9"/>
      <c r="E391" s="9"/>
      <c r="F391" s="9"/>
      <c r="G391" s="9"/>
      <c r="H391" s="9"/>
    </row>
    <row r="392" spans="1:8">
      <c r="A392" s="9"/>
      <c r="B392" s="9"/>
      <c r="C392" s="9"/>
      <c r="D392" s="9"/>
      <c r="E392" s="9"/>
      <c r="F392" s="9"/>
      <c r="G392" s="9"/>
      <c r="H392" s="9"/>
    </row>
    <row r="393" spans="1:8">
      <c r="A393" s="9"/>
      <c r="B393" s="9"/>
      <c r="C393" s="9"/>
      <c r="D393" s="9"/>
      <c r="E393" s="9"/>
      <c r="F393" s="9"/>
      <c r="G393" s="9"/>
      <c r="H393" s="9"/>
    </row>
    <row r="394" spans="1:8">
      <c r="A394" s="9"/>
      <c r="B394" s="9"/>
      <c r="C394" s="9"/>
      <c r="D394" s="9"/>
      <c r="E394" s="9"/>
      <c r="F394" s="9"/>
      <c r="G394" s="9"/>
      <c r="H394" s="9"/>
    </row>
    <row r="395" spans="1:8">
      <c r="A395" s="9"/>
      <c r="B395" s="9"/>
      <c r="C395" s="9"/>
      <c r="D395" s="9"/>
      <c r="E395" s="9"/>
      <c r="F395" s="9"/>
      <c r="G395" s="9"/>
      <c r="H395" s="9"/>
    </row>
    <row r="396" spans="1:8">
      <c r="A396" s="9"/>
      <c r="B396" s="9"/>
      <c r="C396" s="9"/>
      <c r="D396" s="9"/>
      <c r="E396" s="9"/>
      <c r="F396" s="9"/>
      <c r="G396" s="9"/>
      <c r="H396" s="9"/>
    </row>
    <row r="397" spans="1:8">
      <c r="A397" s="9"/>
      <c r="B397" s="9"/>
      <c r="C397" s="9"/>
      <c r="D397" s="9"/>
      <c r="E397" s="9"/>
      <c r="F397" s="9"/>
      <c r="G397" s="9"/>
      <c r="H397" s="9"/>
    </row>
    <row r="398" spans="1:8">
      <c r="A398" s="9"/>
      <c r="B398" s="9"/>
      <c r="C398" s="9"/>
      <c r="D398" s="9"/>
      <c r="E398" s="9"/>
      <c r="F398" s="9"/>
      <c r="G398" s="9"/>
      <c r="H398" s="9"/>
    </row>
    <row r="399" spans="1:8">
      <c r="A399" s="9"/>
      <c r="B399" s="9"/>
      <c r="C399" s="9"/>
      <c r="D399" s="9"/>
      <c r="E399" s="9"/>
      <c r="F399" s="9"/>
      <c r="G399" s="9"/>
      <c r="H399" s="9"/>
    </row>
    <row r="400" spans="1:8">
      <c r="A400" s="9"/>
      <c r="B400" s="9"/>
      <c r="C400" s="9"/>
      <c r="D400" s="9"/>
      <c r="E400" s="9"/>
      <c r="F400" s="9"/>
      <c r="G400" s="9"/>
      <c r="H400" s="9"/>
    </row>
    <row r="401" spans="1:8">
      <c r="A401" s="9"/>
      <c r="B401" s="9"/>
      <c r="C401" s="9"/>
      <c r="D401" s="9"/>
      <c r="E401" s="9"/>
      <c r="F401" s="9"/>
      <c r="G401" s="9"/>
      <c r="H401" s="9"/>
    </row>
    <row r="402" spans="1:8">
      <c r="A402" s="9"/>
      <c r="B402" s="9"/>
      <c r="C402" s="9"/>
      <c r="D402" s="9"/>
      <c r="E402" s="9"/>
      <c r="F402" s="9"/>
      <c r="G402" s="9"/>
      <c r="H402" s="9"/>
    </row>
    <row r="403" spans="1:8">
      <c r="A403" s="9"/>
      <c r="B403" s="9"/>
      <c r="C403" s="9"/>
      <c r="D403" s="9"/>
      <c r="E403" s="9"/>
      <c r="F403" s="9"/>
      <c r="G403" s="9"/>
      <c r="H403" s="9"/>
    </row>
    <row r="404" spans="1:8">
      <c r="A404" s="9"/>
      <c r="B404" s="9"/>
      <c r="C404" s="9"/>
      <c r="D404" s="9"/>
      <c r="E404" s="9"/>
      <c r="F404" s="9"/>
      <c r="G404" s="9"/>
      <c r="H404" s="9"/>
    </row>
    <row r="405" spans="1:8">
      <c r="A405" s="9"/>
      <c r="B405" s="9"/>
      <c r="C405" s="9"/>
      <c r="D405" s="9"/>
      <c r="E405" s="9"/>
      <c r="F405" s="9"/>
      <c r="G405" s="9"/>
      <c r="H405" s="9"/>
    </row>
    <row r="406" spans="1:8">
      <c r="A406" s="9"/>
      <c r="B406" s="9"/>
      <c r="C406" s="9"/>
      <c r="D406" s="9"/>
      <c r="E406" s="9"/>
      <c r="F406" s="9"/>
      <c r="G406" s="9"/>
      <c r="H406" s="9"/>
    </row>
    <row r="407" spans="1:8">
      <c r="A407" s="9"/>
      <c r="B407" s="9"/>
      <c r="C407" s="9"/>
      <c r="D407" s="9"/>
      <c r="E407" s="9"/>
      <c r="F407" s="9"/>
      <c r="G407" s="9"/>
      <c r="H407" s="9"/>
    </row>
    <row r="408" spans="1:8">
      <c r="A408" s="9"/>
      <c r="B408" s="9"/>
      <c r="C408" s="9"/>
      <c r="D408" s="9"/>
      <c r="E408" s="9"/>
      <c r="F408" s="9"/>
      <c r="G408" s="9"/>
      <c r="H408" s="9"/>
    </row>
    <row r="409" spans="1:8">
      <c r="A409" s="9"/>
      <c r="B409" s="9"/>
      <c r="C409" s="9"/>
      <c r="D409" s="9"/>
      <c r="E409" s="9"/>
      <c r="F409" s="9"/>
      <c r="G409" s="9"/>
      <c r="H409" s="9"/>
    </row>
    <row r="410" spans="1:8">
      <c r="A410" s="9"/>
      <c r="B410" s="9"/>
      <c r="C410" s="9"/>
      <c r="D410" s="9"/>
      <c r="E410" s="9"/>
      <c r="F410" s="9"/>
      <c r="G410" s="9"/>
      <c r="H410" s="9"/>
    </row>
    <row r="411" spans="1:8">
      <c r="A411" s="9"/>
      <c r="B411" s="9"/>
      <c r="C411" s="9"/>
      <c r="D411" s="9"/>
      <c r="E411" s="9"/>
      <c r="F411" s="9"/>
      <c r="G411" s="9"/>
      <c r="H411" s="9"/>
    </row>
    <row r="412" spans="1:8">
      <c r="A412" s="9"/>
      <c r="B412" s="9"/>
      <c r="C412" s="9"/>
      <c r="D412" s="9"/>
      <c r="E412" s="9"/>
      <c r="F412" s="9"/>
      <c r="G412" s="9"/>
      <c r="H412" s="9"/>
    </row>
    <row r="413" spans="1:8">
      <c r="A413" s="9"/>
      <c r="B413" s="9"/>
      <c r="C413" s="9"/>
      <c r="D413" s="9"/>
      <c r="E413" s="9"/>
      <c r="F413" s="9"/>
      <c r="G413" s="9"/>
      <c r="H413" s="9"/>
    </row>
    <row r="414" spans="1:8">
      <c r="A414" s="9"/>
      <c r="B414" s="9"/>
      <c r="C414" s="9"/>
      <c r="D414" s="9"/>
      <c r="E414" s="9"/>
      <c r="F414" s="9"/>
      <c r="G414" s="9"/>
      <c r="H414" s="9"/>
    </row>
    <row r="415" spans="1:8">
      <c r="A415" s="9"/>
      <c r="B415" s="9"/>
      <c r="C415" s="9"/>
      <c r="D415" s="9"/>
      <c r="E415" s="9"/>
      <c r="F415" s="9"/>
      <c r="G415" s="9"/>
      <c r="H415" s="9"/>
    </row>
    <row r="416" spans="1:8">
      <c r="A416" s="9"/>
      <c r="B416" s="9"/>
      <c r="C416" s="9"/>
      <c r="D416" s="9"/>
      <c r="E416" s="9"/>
      <c r="F416" s="9"/>
      <c r="G416" s="9"/>
      <c r="H416" s="9"/>
    </row>
    <row r="417" spans="1:8">
      <c r="A417" s="9"/>
      <c r="B417" s="9"/>
      <c r="C417" s="9"/>
      <c r="D417" s="9"/>
      <c r="E417" s="9"/>
      <c r="F417" s="9"/>
      <c r="G417" s="9"/>
      <c r="H417" s="9"/>
    </row>
    <row r="418" spans="1:8">
      <c r="A418" s="9"/>
      <c r="B418" s="9"/>
      <c r="C418" s="9"/>
      <c r="D418" s="9"/>
      <c r="E418" s="9"/>
      <c r="F418" s="9"/>
      <c r="G418" s="9"/>
      <c r="H418" s="9"/>
    </row>
    <row r="419" spans="1:8">
      <c r="A419" s="9"/>
      <c r="B419" s="9"/>
      <c r="C419" s="9"/>
      <c r="D419" s="9"/>
      <c r="E419" s="9"/>
      <c r="F419" s="9"/>
      <c r="G419" s="9"/>
      <c r="H419" s="9"/>
    </row>
    <row r="420" spans="1:8">
      <c r="A420" s="9"/>
      <c r="B420" s="9"/>
      <c r="C420" s="9"/>
      <c r="D420" s="9"/>
      <c r="E420" s="9"/>
      <c r="F420" s="9"/>
      <c r="G420" s="9"/>
      <c r="H420" s="9"/>
    </row>
    <row r="421" spans="1:8">
      <c r="A421" s="9"/>
      <c r="B421" s="9"/>
      <c r="C421" s="9"/>
      <c r="D421" s="9"/>
      <c r="E421" s="9"/>
      <c r="F421" s="9"/>
      <c r="G421" s="9"/>
      <c r="H421" s="9"/>
    </row>
    <row r="422" spans="1:8">
      <c r="A422" s="9"/>
      <c r="B422" s="9"/>
      <c r="C422" s="9"/>
      <c r="D422" s="9"/>
      <c r="E422" s="9"/>
      <c r="F422" s="9"/>
      <c r="G422" s="9"/>
      <c r="H422" s="9"/>
    </row>
    <row r="423" spans="1:8">
      <c r="A423" s="9"/>
      <c r="B423" s="9"/>
      <c r="C423" s="9"/>
      <c r="D423" s="9"/>
      <c r="E423" s="9"/>
      <c r="F423" s="9"/>
      <c r="G423" s="9"/>
      <c r="H423" s="9"/>
    </row>
    <row r="424" spans="1:8">
      <c r="A424" s="9"/>
      <c r="B424" s="9"/>
      <c r="C424" s="9"/>
      <c r="D424" s="9"/>
      <c r="E424" s="9"/>
      <c r="F424" s="9"/>
      <c r="G424" s="9"/>
      <c r="H424" s="9"/>
    </row>
    <row r="425" spans="1:8">
      <c r="A425" s="9"/>
      <c r="B425" s="9"/>
      <c r="C425" s="9"/>
      <c r="D425" s="9"/>
      <c r="E425" s="9"/>
      <c r="F425" s="9"/>
      <c r="G425" s="9"/>
      <c r="H425" s="9"/>
    </row>
    <row r="426" spans="1:8">
      <c r="A426" s="9"/>
      <c r="B426" s="9"/>
      <c r="C426" s="9"/>
      <c r="D426" s="9"/>
      <c r="E426" s="9"/>
      <c r="F426" s="9"/>
      <c r="G426" s="9"/>
      <c r="H426" s="9"/>
    </row>
    <row r="427" spans="1:8">
      <c r="A427" s="9"/>
      <c r="B427" s="9"/>
      <c r="C427" s="9"/>
      <c r="D427" s="9"/>
      <c r="E427" s="9"/>
      <c r="F427" s="9"/>
      <c r="G427" s="9"/>
      <c r="H427" s="9"/>
    </row>
    <row r="428" spans="1:8">
      <c r="A428" s="9"/>
      <c r="B428" s="9"/>
      <c r="C428" s="9"/>
      <c r="D428" s="9"/>
      <c r="E428" s="9"/>
      <c r="F428" s="9"/>
      <c r="G428" s="9"/>
      <c r="H428" s="9"/>
    </row>
    <row r="429" spans="1:8">
      <c r="A429" s="9"/>
      <c r="B429" s="9"/>
      <c r="C429" s="9"/>
      <c r="D429" s="9"/>
      <c r="E429" s="9"/>
      <c r="F429" s="9"/>
      <c r="G429" s="9"/>
      <c r="H429" s="9"/>
    </row>
    <row r="430" spans="1:8">
      <c r="A430" s="9"/>
      <c r="B430" s="9"/>
      <c r="C430" s="9"/>
      <c r="D430" s="9"/>
      <c r="E430" s="9"/>
      <c r="F430" s="9"/>
      <c r="G430" s="9"/>
      <c r="H430" s="9"/>
    </row>
    <row r="431" spans="1:8">
      <c r="A431" s="9"/>
      <c r="B431" s="9"/>
      <c r="C431" s="9"/>
      <c r="D431" s="9"/>
      <c r="E431" s="9"/>
      <c r="F431" s="9"/>
      <c r="G431" s="9"/>
      <c r="H431" s="9"/>
    </row>
    <row r="432" spans="1:8">
      <c r="A432" s="9"/>
      <c r="B432" s="9"/>
      <c r="C432" s="9"/>
      <c r="D432" s="9"/>
      <c r="E432" s="9"/>
      <c r="F432" s="9"/>
      <c r="G432" s="9"/>
      <c r="H432" s="9"/>
    </row>
    <row r="433" spans="1:8">
      <c r="A433" s="9"/>
      <c r="B433" s="9"/>
      <c r="C433" s="9"/>
      <c r="D433" s="9"/>
      <c r="E433" s="9"/>
      <c r="F433" s="9"/>
      <c r="G433" s="9"/>
      <c r="H433" s="9"/>
    </row>
    <row r="434" spans="1:8">
      <c r="A434" s="9"/>
      <c r="B434" s="9"/>
      <c r="C434" s="9"/>
      <c r="D434" s="9"/>
      <c r="E434" s="9"/>
      <c r="F434" s="9"/>
      <c r="G434" s="9"/>
      <c r="H434" s="9"/>
    </row>
    <row r="435" spans="1:8">
      <c r="A435" s="9"/>
      <c r="B435" s="9"/>
      <c r="C435" s="9"/>
      <c r="D435" s="9"/>
      <c r="E435" s="9"/>
      <c r="F435" s="9"/>
      <c r="G435" s="9"/>
      <c r="H435" s="9"/>
    </row>
    <row r="436" spans="1:8">
      <c r="A436" s="9"/>
      <c r="B436" s="9"/>
      <c r="C436" s="9"/>
      <c r="D436" s="9"/>
      <c r="E436" s="9"/>
      <c r="F436" s="9"/>
      <c r="G436" s="9"/>
      <c r="H436" s="9"/>
    </row>
    <row r="437" spans="1:8">
      <c r="A437" s="9"/>
      <c r="B437" s="9"/>
      <c r="C437" s="9"/>
      <c r="D437" s="9"/>
      <c r="E437" s="9"/>
      <c r="F437" s="9"/>
      <c r="G437" s="9"/>
      <c r="H437" s="9"/>
    </row>
    <row r="438" spans="1:8">
      <c r="A438" s="9"/>
      <c r="B438" s="9"/>
      <c r="C438" s="9"/>
      <c r="D438" s="9"/>
      <c r="E438" s="9"/>
      <c r="F438" s="9"/>
      <c r="G438" s="9"/>
      <c r="H438" s="9"/>
    </row>
    <row r="439" spans="1:8">
      <c r="A439" s="9"/>
      <c r="B439" s="9"/>
      <c r="C439" s="9"/>
      <c r="D439" s="9"/>
      <c r="E439" s="9"/>
      <c r="F439" s="9"/>
      <c r="G439" s="9"/>
      <c r="H439" s="9"/>
    </row>
    <row r="440" spans="1:8">
      <c r="A440" s="9"/>
      <c r="B440" s="9"/>
      <c r="C440" s="9"/>
      <c r="D440" s="9"/>
      <c r="E440" s="9"/>
      <c r="F440" s="9"/>
      <c r="G440" s="9"/>
      <c r="H440" s="9"/>
    </row>
    <row r="441" spans="1:8">
      <c r="A441" s="9"/>
      <c r="B441" s="9"/>
      <c r="C441" s="9"/>
      <c r="D441" s="9"/>
      <c r="E441" s="9"/>
      <c r="F441" s="9"/>
      <c r="G441" s="9"/>
      <c r="H441" s="9"/>
    </row>
    <row r="442" spans="1:8">
      <c r="A442" s="9"/>
      <c r="B442" s="9"/>
      <c r="C442" s="9"/>
      <c r="D442" s="9"/>
      <c r="E442" s="9"/>
      <c r="F442" s="9"/>
      <c r="G442" s="9"/>
      <c r="H442" s="9"/>
    </row>
    <row r="443" spans="1:8">
      <c r="A443" s="9"/>
      <c r="B443" s="9"/>
      <c r="C443" s="9"/>
      <c r="D443" s="9"/>
      <c r="E443" s="9"/>
      <c r="F443" s="9"/>
      <c r="G443" s="9"/>
      <c r="H443" s="9"/>
    </row>
    <row r="444" spans="1:8">
      <c r="A444" s="9"/>
      <c r="B444" s="9"/>
      <c r="C444" s="9"/>
      <c r="D444" s="9"/>
      <c r="E444" s="9"/>
      <c r="F444" s="9"/>
      <c r="G444" s="9"/>
      <c r="H444" s="9"/>
    </row>
    <row r="445" spans="1:8">
      <c r="A445" s="9"/>
      <c r="B445" s="9"/>
      <c r="C445" s="9"/>
      <c r="D445" s="9"/>
      <c r="E445" s="9"/>
      <c r="F445" s="9"/>
      <c r="G445" s="9"/>
      <c r="H445" s="9"/>
    </row>
    <row r="446" spans="1:8">
      <c r="A446" s="9"/>
      <c r="B446" s="9"/>
      <c r="C446" s="9"/>
      <c r="D446" s="9"/>
      <c r="E446" s="9"/>
      <c r="F446" s="9"/>
      <c r="G446" s="9"/>
      <c r="H446" s="9"/>
    </row>
    <row r="447" spans="1:8">
      <c r="A447" s="9"/>
      <c r="B447" s="9"/>
      <c r="C447" s="9"/>
      <c r="D447" s="9"/>
      <c r="E447" s="9"/>
      <c r="F447" s="9"/>
      <c r="G447" s="9"/>
      <c r="H447" s="9"/>
    </row>
    <row r="448" spans="1:8">
      <c r="A448" s="9"/>
      <c r="B448" s="9"/>
      <c r="C448" s="9"/>
      <c r="D448" s="9"/>
      <c r="E448" s="9"/>
      <c r="F448" s="9"/>
      <c r="G448" s="9"/>
      <c r="H448" s="9"/>
    </row>
    <row r="449" spans="1:8">
      <c r="A449" s="9"/>
      <c r="B449" s="9"/>
      <c r="C449" s="9"/>
      <c r="D449" s="9"/>
      <c r="E449" s="9"/>
      <c r="F449" s="9"/>
      <c r="G449" s="9"/>
      <c r="H449" s="9"/>
    </row>
    <row r="450" spans="1:8">
      <c r="A450" s="9"/>
      <c r="B450" s="9"/>
      <c r="C450" s="9"/>
      <c r="D450" s="9"/>
      <c r="E450" s="9"/>
      <c r="F450" s="9"/>
      <c r="G450" s="9"/>
      <c r="H450" s="9"/>
    </row>
    <row r="451" spans="1:8">
      <c r="A451" s="9"/>
      <c r="B451" s="9"/>
      <c r="C451" s="9"/>
      <c r="D451" s="9"/>
      <c r="E451" s="9"/>
      <c r="F451" s="9"/>
      <c r="G451" s="9"/>
      <c r="H451" s="9"/>
    </row>
    <row r="452" spans="1:8">
      <c r="A452" s="9"/>
      <c r="B452" s="9"/>
      <c r="C452" s="9"/>
      <c r="D452" s="9"/>
      <c r="E452" s="9"/>
      <c r="F452" s="9"/>
      <c r="G452" s="9"/>
      <c r="H452" s="9"/>
    </row>
    <row r="453" spans="1:8">
      <c r="A453" s="9"/>
      <c r="B453" s="9"/>
      <c r="C453" s="9"/>
      <c r="D453" s="9"/>
      <c r="E453" s="9"/>
      <c r="F453" s="9"/>
      <c r="G453" s="9"/>
      <c r="H453" s="9"/>
    </row>
    <row r="454" spans="1:8">
      <c r="A454" s="9"/>
      <c r="B454" s="9"/>
      <c r="C454" s="9"/>
      <c r="D454" s="9"/>
      <c r="E454" s="9"/>
      <c r="F454" s="9"/>
      <c r="G454" s="9"/>
      <c r="H454" s="9"/>
    </row>
    <row r="455" spans="1:8">
      <c r="A455" s="9"/>
      <c r="B455" s="9"/>
      <c r="C455" s="9"/>
      <c r="D455" s="9"/>
      <c r="E455" s="9"/>
      <c r="F455" s="9"/>
      <c r="G455" s="9"/>
      <c r="H455" s="9"/>
    </row>
    <row r="456" spans="1:8">
      <c r="A456" s="9"/>
      <c r="B456" s="9"/>
      <c r="C456" s="9"/>
      <c r="D456" s="9"/>
      <c r="E456" s="9"/>
      <c r="F456" s="9"/>
      <c r="G456" s="9"/>
      <c r="H456" s="9"/>
    </row>
    <row r="457" spans="1:8">
      <c r="A457" s="9"/>
      <c r="B457" s="9"/>
      <c r="C457" s="9"/>
      <c r="D457" s="9"/>
      <c r="E457" s="9"/>
      <c r="F457" s="9"/>
      <c r="G457" s="9"/>
      <c r="H457" s="9"/>
    </row>
    <row r="458" spans="1:8">
      <c r="A458" s="9"/>
      <c r="B458" s="9"/>
      <c r="C458" s="9"/>
      <c r="D458" s="9"/>
      <c r="E458" s="9"/>
      <c r="F458" s="9"/>
      <c r="G458" s="9"/>
      <c r="H458" s="9"/>
    </row>
    <row r="459" spans="1:8">
      <c r="A459" s="9"/>
      <c r="B459" s="9"/>
      <c r="C459" s="9"/>
      <c r="D459" s="9"/>
      <c r="E459" s="9"/>
      <c r="F459" s="9"/>
      <c r="G459" s="9"/>
      <c r="H459" s="9"/>
    </row>
    <row r="460" spans="1:8">
      <c r="A460" s="9"/>
      <c r="B460" s="9"/>
      <c r="C460" s="9"/>
      <c r="D460" s="9"/>
      <c r="E460" s="9"/>
      <c r="F460" s="9"/>
      <c r="G460" s="9"/>
      <c r="H460" s="9"/>
    </row>
    <row r="461" spans="1:8">
      <c r="A461" s="9"/>
      <c r="B461" s="9"/>
      <c r="C461" s="9"/>
      <c r="D461" s="9"/>
      <c r="E461" s="9"/>
      <c r="F461" s="9"/>
      <c r="G461" s="9"/>
      <c r="H461" s="9"/>
    </row>
    <row r="462" spans="1:8">
      <c r="A462" s="9"/>
      <c r="B462" s="9"/>
      <c r="C462" s="9"/>
      <c r="D462" s="9"/>
      <c r="E462" s="9"/>
      <c r="F462" s="9"/>
      <c r="G462" s="9"/>
      <c r="H462" s="9"/>
    </row>
    <row r="463" spans="1:8">
      <c r="A463" s="9"/>
      <c r="B463" s="9"/>
      <c r="C463" s="9"/>
      <c r="D463" s="9"/>
      <c r="E463" s="9"/>
      <c r="F463" s="9"/>
      <c r="G463" s="9"/>
      <c r="H463" s="9"/>
    </row>
    <row r="464" spans="1:8">
      <c r="A464" s="9"/>
      <c r="B464" s="9"/>
      <c r="C464" s="9"/>
      <c r="D464" s="9"/>
      <c r="E464" s="9"/>
      <c r="F464" s="9"/>
      <c r="G464" s="9"/>
      <c r="H464" s="9"/>
    </row>
    <row r="465" spans="1:8">
      <c r="A465" s="9"/>
      <c r="B465" s="9"/>
      <c r="C465" s="9"/>
      <c r="D465" s="9"/>
      <c r="E465" s="9"/>
      <c r="F465" s="9"/>
      <c r="G465" s="9"/>
      <c r="H465" s="9"/>
    </row>
    <row r="466" spans="1:8">
      <c r="A466" s="9"/>
      <c r="B466" s="9"/>
      <c r="C466" s="9"/>
      <c r="D466" s="9"/>
      <c r="E466" s="9"/>
      <c r="F466" s="9"/>
      <c r="G466" s="9"/>
      <c r="H466" s="9"/>
    </row>
    <row r="467" spans="1:8">
      <c r="A467" s="9"/>
      <c r="B467" s="9"/>
      <c r="C467" s="9"/>
      <c r="D467" s="9"/>
      <c r="E467" s="9"/>
      <c r="F467" s="9"/>
      <c r="G467" s="9"/>
      <c r="H467" s="9"/>
    </row>
    <row r="468" spans="1:8">
      <c r="A468" s="9"/>
      <c r="B468" s="9"/>
      <c r="C468" s="9"/>
      <c r="D468" s="9"/>
      <c r="E468" s="9"/>
      <c r="F468" s="9"/>
      <c r="G468" s="9"/>
      <c r="H468" s="9"/>
    </row>
    <row r="469" spans="1:8">
      <c r="A469" s="9"/>
      <c r="B469" s="9"/>
      <c r="C469" s="9"/>
      <c r="D469" s="9"/>
      <c r="E469" s="9"/>
      <c r="F469" s="9"/>
      <c r="G469" s="9"/>
      <c r="H469" s="9"/>
    </row>
    <row r="470" spans="1:8">
      <c r="A470" s="9"/>
      <c r="B470" s="9"/>
      <c r="C470" s="9"/>
      <c r="D470" s="9"/>
      <c r="E470" s="9"/>
      <c r="F470" s="9"/>
      <c r="G470" s="9"/>
      <c r="H470" s="9"/>
    </row>
    <row r="471" spans="1:8">
      <c r="A471" s="9"/>
      <c r="B471" s="9"/>
      <c r="C471" s="9"/>
      <c r="D471" s="9"/>
      <c r="E471" s="9"/>
      <c r="F471" s="9"/>
      <c r="G471" s="9"/>
      <c r="H471" s="9"/>
    </row>
    <row r="472" spans="1:8">
      <c r="A472" s="9"/>
      <c r="B472" s="9"/>
      <c r="C472" s="9"/>
      <c r="D472" s="9"/>
      <c r="E472" s="9"/>
      <c r="F472" s="9"/>
      <c r="G472" s="9"/>
      <c r="H472" s="9"/>
    </row>
    <row r="473" spans="1:8">
      <c r="A473" s="9"/>
      <c r="B473" s="9"/>
      <c r="C473" s="9"/>
      <c r="D473" s="9"/>
      <c r="E473" s="9"/>
      <c r="F473" s="9"/>
      <c r="G473" s="9"/>
      <c r="H473" s="9"/>
    </row>
    <row r="474" spans="1:8">
      <c r="A474" s="9"/>
      <c r="B474" s="9"/>
      <c r="C474" s="9"/>
      <c r="D474" s="9"/>
      <c r="E474" s="9"/>
      <c r="F474" s="9"/>
      <c r="G474" s="9"/>
      <c r="H474" s="9"/>
    </row>
    <row r="475" spans="1:8">
      <c r="A475" s="9"/>
      <c r="B475" s="9"/>
      <c r="C475" s="9"/>
      <c r="D475" s="9"/>
      <c r="E475" s="9"/>
      <c r="F475" s="9"/>
      <c r="G475" s="9"/>
      <c r="H475" s="9"/>
    </row>
    <row r="476" spans="1:8">
      <c r="A476" s="9"/>
      <c r="B476" s="9"/>
      <c r="C476" s="9"/>
      <c r="D476" s="9"/>
      <c r="E476" s="9"/>
      <c r="F476" s="9"/>
      <c r="G476" s="9"/>
      <c r="H476" s="9"/>
    </row>
    <row r="477" spans="1:8">
      <c r="A477" s="9"/>
      <c r="B477" s="9"/>
      <c r="C477" s="9"/>
      <c r="D477" s="9"/>
      <c r="E477" s="9"/>
      <c r="F477" s="9"/>
      <c r="G477" s="9"/>
      <c r="H477" s="9"/>
    </row>
    <row r="478" spans="1:8">
      <c r="A478" s="9"/>
      <c r="B478" s="9"/>
      <c r="C478" s="9"/>
      <c r="D478" s="9"/>
      <c r="E478" s="9"/>
      <c r="F478" s="9"/>
      <c r="G478" s="9"/>
      <c r="H478" s="9"/>
    </row>
    <row r="479" spans="1:8">
      <c r="A479" s="9"/>
      <c r="B479" s="9"/>
      <c r="C479" s="9"/>
      <c r="D479" s="9"/>
      <c r="E479" s="9"/>
      <c r="F479" s="9"/>
      <c r="G479" s="9"/>
      <c r="H479" s="9"/>
    </row>
    <row r="480" spans="1:8">
      <c r="A480" s="9"/>
      <c r="B480" s="9"/>
      <c r="C480" s="9"/>
      <c r="D480" s="9"/>
      <c r="E480" s="9"/>
      <c r="F480" s="9"/>
      <c r="G480" s="9"/>
      <c r="H480" s="9"/>
    </row>
    <row r="481" spans="1:8">
      <c r="A481" s="9"/>
      <c r="B481" s="9"/>
      <c r="C481" s="9"/>
      <c r="D481" s="9"/>
      <c r="E481" s="9"/>
      <c r="F481" s="9"/>
      <c r="G481" s="9"/>
      <c r="H481" s="9"/>
    </row>
    <row r="482" spans="1:8">
      <c r="A482" s="9"/>
      <c r="B482" s="9"/>
      <c r="C482" s="9"/>
      <c r="D482" s="9"/>
      <c r="E482" s="9"/>
      <c r="F482" s="9"/>
      <c r="G482" s="9"/>
      <c r="H482" s="9"/>
    </row>
    <row r="483" spans="1:8">
      <c r="A483" s="9"/>
      <c r="B483" s="9"/>
      <c r="C483" s="9"/>
      <c r="D483" s="9"/>
      <c r="E483" s="9"/>
      <c r="F483" s="9"/>
      <c r="G483" s="9"/>
      <c r="H483" s="9"/>
    </row>
    <row r="484" spans="1:8">
      <c r="A484" s="9"/>
      <c r="B484" s="9"/>
      <c r="C484" s="9"/>
      <c r="D484" s="9"/>
      <c r="E484" s="9"/>
      <c r="F484" s="9"/>
      <c r="G484" s="9"/>
      <c r="H484" s="9"/>
    </row>
    <row r="485" spans="1:8">
      <c r="A485" s="9"/>
      <c r="B485" s="9"/>
      <c r="C485" s="9"/>
      <c r="D485" s="9"/>
      <c r="E485" s="9"/>
      <c r="F485" s="9"/>
      <c r="G485" s="9"/>
      <c r="H485" s="9"/>
    </row>
    <row r="486" spans="1:8">
      <c r="A486" s="9"/>
      <c r="B486" s="9"/>
      <c r="C486" s="9"/>
      <c r="D486" s="9"/>
      <c r="E486" s="9"/>
      <c r="F486" s="9"/>
      <c r="G486" s="9"/>
      <c r="H486" s="9"/>
    </row>
    <row r="487" spans="1:8">
      <c r="A487" s="9"/>
      <c r="B487" s="9"/>
      <c r="C487" s="9"/>
      <c r="D487" s="9"/>
      <c r="E487" s="9"/>
      <c r="F487" s="9"/>
      <c r="G487" s="9"/>
      <c r="H487" s="9"/>
    </row>
    <row r="488" spans="1:8">
      <c r="A488" s="9"/>
      <c r="B488" s="9"/>
      <c r="C488" s="9"/>
      <c r="D488" s="9"/>
      <c r="E488" s="9"/>
      <c r="F488" s="9"/>
      <c r="G488" s="9"/>
      <c r="H488" s="9"/>
    </row>
    <row r="489" spans="1:8">
      <c r="A489" s="9"/>
      <c r="B489" s="9"/>
      <c r="C489" s="9"/>
      <c r="D489" s="9"/>
      <c r="E489" s="9"/>
      <c r="F489" s="9"/>
      <c r="G489" s="9"/>
      <c r="H489" s="9"/>
    </row>
    <row r="490" spans="1:8">
      <c r="A490" s="9"/>
      <c r="B490" s="9"/>
      <c r="C490" s="9"/>
      <c r="D490" s="9"/>
      <c r="E490" s="9"/>
      <c r="F490" s="9"/>
      <c r="G490" s="9"/>
      <c r="H490" s="9"/>
    </row>
    <row r="491" spans="1:8">
      <c r="A491" s="9"/>
      <c r="B491" s="9"/>
      <c r="C491" s="9"/>
      <c r="D491" s="9"/>
      <c r="E491" s="9"/>
      <c r="F491" s="9"/>
      <c r="G491" s="9"/>
      <c r="H491" s="9"/>
    </row>
    <row r="492" spans="1:8">
      <c r="A492" s="9"/>
      <c r="B492" s="9"/>
      <c r="C492" s="9"/>
      <c r="D492" s="9"/>
      <c r="E492" s="9"/>
      <c r="F492" s="9"/>
      <c r="G492" s="9"/>
      <c r="H492" s="9"/>
    </row>
    <row r="493" spans="1:8">
      <c r="A493" s="9"/>
      <c r="B493" s="9"/>
      <c r="C493" s="9"/>
      <c r="D493" s="9"/>
      <c r="E493" s="9"/>
      <c r="F493" s="9"/>
      <c r="G493" s="9"/>
      <c r="H493" s="9"/>
    </row>
    <row r="494" spans="1:8">
      <c r="A494" s="9"/>
      <c r="B494" s="9"/>
      <c r="C494" s="9"/>
      <c r="D494" s="9"/>
      <c r="E494" s="9"/>
      <c r="F494" s="9"/>
      <c r="G494" s="9"/>
      <c r="H494" s="9"/>
    </row>
    <row r="495" spans="1:8">
      <c r="A495" s="9"/>
      <c r="B495" s="9"/>
      <c r="C495" s="9"/>
      <c r="D495" s="9"/>
      <c r="E495" s="9"/>
      <c r="F495" s="9"/>
      <c r="G495" s="9"/>
      <c r="H495" s="9"/>
    </row>
    <row r="496" spans="1:8">
      <c r="A496" s="9"/>
      <c r="B496" s="9"/>
      <c r="C496" s="9"/>
      <c r="D496" s="9"/>
      <c r="E496" s="9"/>
      <c r="F496" s="9"/>
      <c r="G496" s="9"/>
      <c r="H496" s="9"/>
    </row>
    <row r="497" spans="1:8">
      <c r="A497" s="9"/>
      <c r="B497" s="9"/>
      <c r="C497" s="9"/>
      <c r="D497" s="9"/>
      <c r="E497" s="9"/>
      <c r="F497" s="9"/>
      <c r="G497" s="9"/>
      <c r="H497" s="9"/>
    </row>
    <row r="498" spans="1:8">
      <c r="A498" s="9"/>
      <c r="B498" s="9"/>
      <c r="C498" s="9"/>
      <c r="D498" s="9"/>
      <c r="E498" s="9"/>
      <c r="F498" s="9"/>
      <c r="G498" s="9"/>
      <c r="H498" s="9"/>
    </row>
    <row r="499" spans="1:8">
      <c r="A499" s="9"/>
      <c r="B499" s="9"/>
      <c r="C499" s="9"/>
      <c r="D499" s="9"/>
      <c r="E499" s="9"/>
      <c r="F499" s="9"/>
      <c r="G499" s="9"/>
      <c r="H499" s="9"/>
    </row>
    <row r="500" spans="1:8">
      <c r="A500" s="9"/>
      <c r="B500" s="9"/>
      <c r="C500" s="9"/>
      <c r="D500" s="9"/>
      <c r="E500" s="9"/>
      <c r="F500" s="9"/>
      <c r="G500" s="9"/>
      <c r="H500" s="9"/>
    </row>
    <row r="501" spans="1:8">
      <c r="A501" s="9"/>
      <c r="B501" s="9"/>
      <c r="C501" s="9"/>
      <c r="D501" s="9"/>
      <c r="E501" s="9"/>
      <c r="F501" s="9"/>
      <c r="G501" s="9"/>
      <c r="H501" s="9"/>
    </row>
    <row r="502" spans="1:8">
      <c r="A502" s="9"/>
      <c r="B502" s="9"/>
      <c r="C502" s="9"/>
      <c r="D502" s="9"/>
      <c r="E502" s="9"/>
      <c r="F502" s="9"/>
      <c r="G502" s="9"/>
      <c r="H502" s="9"/>
    </row>
    <row r="503" spans="1:8">
      <c r="A503" s="9"/>
      <c r="B503" s="9"/>
      <c r="C503" s="9"/>
      <c r="D503" s="9"/>
      <c r="E503" s="9"/>
      <c r="F503" s="9"/>
      <c r="G503" s="9"/>
      <c r="H503" s="9"/>
    </row>
    <row r="504" spans="1:8">
      <c r="A504" s="9"/>
      <c r="B504" s="9"/>
      <c r="C504" s="9"/>
      <c r="D504" s="9"/>
      <c r="E504" s="9"/>
      <c r="F504" s="9"/>
      <c r="G504" s="9"/>
      <c r="H504" s="9"/>
    </row>
    <row r="505" spans="1:8">
      <c r="A505" s="9"/>
      <c r="B505" s="9"/>
      <c r="C505" s="9"/>
      <c r="D505" s="9"/>
      <c r="E505" s="9"/>
      <c r="F505" s="9"/>
      <c r="G505" s="9"/>
      <c r="H505" s="9"/>
    </row>
    <row r="506" spans="1:8">
      <c r="A506" s="9"/>
      <c r="B506" s="9"/>
      <c r="C506" s="9"/>
      <c r="D506" s="9"/>
      <c r="E506" s="9"/>
      <c r="F506" s="9"/>
      <c r="G506" s="9"/>
      <c r="H506" s="9"/>
    </row>
    <row r="507" spans="1:8">
      <c r="A507" s="9"/>
      <c r="B507" s="9"/>
      <c r="C507" s="9"/>
      <c r="D507" s="9"/>
      <c r="E507" s="9"/>
      <c r="F507" s="9"/>
      <c r="G507" s="9"/>
      <c r="H507" s="9"/>
    </row>
    <row r="508" spans="1:8">
      <c r="A508" s="9"/>
      <c r="B508" s="9"/>
      <c r="C508" s="9"/>
      <c r="D508" s="9"/>
      <c r="E508" s="9"/>
      <c r="F508" s="9"/>
      <c r="G508" s="9"/>
      <c r="H508" s="9"/>
    </row>
    <row r="509" spans="1:8">
      <c r="A509" s="9"/>
      <c r="B509" s="9"/>
      <c r="C509" s="9"/>
      <c r="D509" s="9"/>
      <c r="E509" s="9"/>
      <c r="F509" s="9"/>
      <c r="G509" s="9"/>
      <c r="H509" s="9"/>
    </row>
    <row r="510" spans="1:8">
      <c r="A510" s="9"/>
      <c r="B510" s="9"/>
      <c r="C510" s="9"/>
      <c r="D510" s="9"/>
      <c r="E510" s="9"/>
      <c r="F510" s="9"/>
      <c r="G510" s="9"/>
      <c r="H510" s="9"/>
    </row>
    <row r="511" spans="1:8">
      <c r="A511" s="9"/>
      <c r="B511" s="9"/>
      <c r="C511" s="9"/>
      <c r="D511" s="9"/>
      <c r="E511" s="9"/>
      <c r="F511" s="9"/>
      <c r="G511" s="9"/>
      <c r="H511" s="9"/>
    </row>
    <row r="512" spans="1:8">
      <c r="A512" s="9"/>
      <c r="B512" s="9"/>
      <c r="C512" s="9"/>
      <c r="D512" s="9"/>
      <c r="E512" s="9"/>
      <c r="F512" s="9"/>
      <c r="G512" s="9"/>
      <c r="H512" s="9"/>
    </row>
    <row r="513" spans="1:8">
      <c r="A513" s="9"/>
      <c r="B513" s="9"/>
      <c r="C513" s="9"/>
      <c r="D513" s="9"/>
      <c r="E513" s="9"/>
      <c r="F513" s="9"/>
      <c r="G513" s="9"/>
      <c r="H513" s="9"/>
    </row>
    <row r="514" spans="1:8">
      <c r="A514" s="9"/>
      <c r="B514" s="9"/>
      <c r="C514" s="9"/>
      <c r="D514" s="9"/>
      <c r="E514" s="9"/>
      <c r="F514" s="9"/>
      <c r="G514" s="9"/>
      <c r="H514" s="9"/>
    </row>
    <row r="515" spans="1:8">
      <c r="A515" s="9"/>
      <c r="B515" s="9"/>
      <c r="C515" s="9"/>
      <c r="D515" s="9"/>
      <c r="E515" s="9"/>
      <c r="F515" s="9"/>
      <c r="G515" s="9"/>
      <c r="H515" s="9"/>
    </row>
    <row r="516" spans="1:8">
      <c r="A516" s="9"/>
      <c r="B516" s="9"/>
      <c r="C516" s="9"/>
      <c r="D516" s="9"/>
      <c r="E516" s="9"/>
      <c r="F516" s="9"/>
      <c r="G516" s="9"/>
      <c r="H516" s="9"/>
    </row>
    <row r="517" spans="1:8">
      <c r="A517" s="9"/>
      <c r="B517" s="9"/>
      <c r="C517" s="9"/>
      <c r="D517" s="9"/>
      <c r="E517" s="9"/>
      <c r="F517" s="9"/>
      <c r="G517" s="9"/>
      <c r="H517" s="9"/>
    </row>
    <row r="518" spans="1:8">
      <c r="A518" s="9"/>
      <c r="B518" s="9"/>
      <c r="C518" s="9"/>
      <c r="D518" s="9"/>
      <c r="E518" s="9"/>
      <c r="F518" s="9"/>
      <c r="G518" s="9"/>
      <c r="H518" s="9"/>
    </row>
    <row r="519" spans="1:8">
      <c r="A519" s="9"/>
      <c r="B519" s="9"/>
      <c r="C519" s="9"/>
      <c r="D519" s="9"/>
      <c r="E519" s="9"/>
      <c r="F519" s="9"/>
      <c r="G519" s="9"/>
      <c r="H519" s="9"/>
    </row>
    <row r="520" spans="1:8">
      <c r="A520" s="9"/>
      <c r="B520" s="9"/>
      <c r="C520" s="9"/>
      <c r="D520" s="9"/>
      <c r="E520" s="9"/>
      <c r="F520" s="9"/>
      <c r="G520" s="9"/>
      <c r="H520" s="9"/>
    </row>
    <row r="521" spans="1:8">
      <c r="A521" s="9"/>
      <c r="B521" s="9"/>
      <c r="C521" s="9"/>
      <c r="D521" s="9"/>
      <c r="E521" s="9"/>
      <c r="F521" s="9"/>
      <c r="G521" s="9"/>
      <c r="H521" s="9"/>
    </row>
    <row r="522" spans="1:8">
      <c r="A522" s="9"/>
      <c r="B522" s="9"/>
      <c r="C522" s="9"/>
      <c r="D522" s="9"/>
      <c r="E522" s="9"/>
      <c r="F522" s="9"/>
      <c r="G522" s="9"/>
      <c r="H522" s="9"/>
    </row>
    <row r="523" spans="1:8">
      <c r="A523" s="9"/>
      <c r="B523" s="9"/>
      <c r="C523" s="9"/>
      <c r="D523" s="9"/>
      <c r="E523" s="9"/>
      <c r="F523" s="9"/>
      <c r="G523" s="9"/>
      <c r="H523" s="9"/>
    </row>
    <row r="524" spans="1:8">
      <c r="A524" s="9"/>
      <c r="B524" s="9"/>
      <c r="C524" s="9"/>
      <c r="D524" s="9"/>
      <c r="E524" s="9"/>
      <c r="F524" s="9"/>
      <c r="G524" s="9"/>
      <c r="H524" s="9"/>
    </row>
    <row r="525" spans="1:8">
      <c r="A525" s="9"/>
      <c r="B525" s="9"/>
      <c r="C525" s="9"/>
      <c r="D525" s="9"/>
      <c r="E525" s="9"/>
      <c r="F525" s="9"/>
      <c r="G525" s="9"/>
      <c r="H525" s="9"/>
    </row>
    <row r="526" spans="1:8">
      <c r="A526" s="9"/>
      <c r="B526" s="9"/>
      <c r="C526" s="9"/>
      <c r="D526" s="9"/>
      <c r="E526" s="9"/>
      <c r="F526" s="9"/>
      <c r="G526" s="9"/>
      <c r="H526" s="9"/>
    </row>
    <row r="527" spans="1:8">
      <c r="A527" s="9"/>
      <c r="B527" s="9"/>
      <c r="C527" s="9"/>
      <c r="D527" s="9"/>
      <c r="E527" s="9"/>
      <c r="F527" s="9"/>
      <c r="G527" s="9"/>
      <c r="H527" s="9"/>
    </row>
    <row r="528" spans="1:8">
      <c r="A528" s="9"/>
      <c r="B528" s="9"/>
      <c r="C528" s="9"/>
      <c r="D528" s="9"/>
      <c r="E528" s="9"/>
      <c r="F528" s="9"/>
      <c r="G528" s="9"/>
      <c r="H528" s="9"/>
    </row>
    <row r="529" spans="1:8">
      <c r="A529" s="9"/>
      <c r="B529" s="9"/>
      <c r="C529" s="9"/>
      <c r="D529" s="9"/>
      <c r="E529" s="9"/>
      <c r="F529" s="9"/>
      <c r="G529" s="9"/>
      <c r="H529" s="9"/>
    </row>
    <row r="530" spans="1:8">
      <c r="A530" s="9"/>
      <c r="B530" s="9"/>
      <c r="C530" s="9"/>
      <c r="D530" s="9"/>
      <c r="E530" s="9"/>
      <c r="F530" s="9"/>
      <c r="G530" s="9"/>
      <c r="H530" s="9"/>
    </row>
    <row r="531" spans="1:8">
      <c r="A531" s="9"/>
      <c r="B531" s="9"/>
      <c r="C531" s="9"/>
      <c r="D531" s="9"/>
      <c r="E531" s="9"/>
      <c r="F531" s="9"/>
      <c r="G531" s="9"/>
      <c r="H531" s="9"/>
    </row>
  </sheetData>
  <mergeCells count="22">
    <mergeCell ref="A314:H314"/>
    <mergeCell ref="A312:C312"/>
    <mergeCell ref="E313:F313"/>
    <mergeCell ref="G9:G11"/>
    <mergeCell ref="A313:D313"/>
    <mergeCell ref="G313:H313"/>
    <mergeCell ref="E10:E11"/>
    <mergeCell ref="F10:F11"/>
    <mergeCell ref="G312:H312"/>
    <mergeCell ref="C9:F9"/>
    <mergeCell ref="A6:G6"/>
    <mergeCell ref="A9:A11"/>
    <mergeCell ref="B10:B11"/>
    <mergeCell ref="C10:C11"/>
    <mergeCell ref="A1:H1"/>
    <mergeCell ref="A4:H4"/>
    <mergeCell ref="A2:H2"/>
    <mergeCell ref="A3:H3"/>
    <mergeCell ref="A5:H5"/>
    <mergeCell ref="D10:D11"/>
    <mergeCell ref="G8:H8"/>
    <mergeCell ref="H9:H11"/>
  </mergeCells>
  <pageMargins left="0.35" right="0.19685039370078741" top="0.36" bottom="0.31" header="0.31496062992125984" footer="0.3149606299212598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A1:H25"/>
  <sheetViews>
    <sheetView topLeftCell="A4" workbookViewId="0">
      <selection activeCell="E16" sqref="E16"/>
    </sheetView>
  </sheetViews>
  <sheetFormatPr defaultRowHeight="12.75"/>
  <cols>
    <col min="1" max="1" width="22.7109375" customWidth="1"/>
    <col min="2" max="2" width="45" customWidth="1"/>
    <col min="3" max="3" width="20.42578125" customWidth="1"/>
  </cols>
  <sheetData>
    <row r="1" spans="1:8" ht="15.75">
      <c r="A1" s="2"/>
      <c r="B1" s="386" t="s">
        <v>411</v>
      </c>
      <c r="C1" s="386"/>
      <c r="D1" s="30"/>
      <c r="E1" s="30"/>
      <c r="F1" s="30"/>
      <c r="G1" s="30"/>
      <c r="H1" s="30"/>
    </row>
    <row r="2" spans="1:8" ht="15.75">
      <c r="A2" s="340" t="s">
        <v>463</v>
      </c>
      <c r="B2" s="340"/>
      <c r="C2" s="340"/>
      <c r="D2" s="98"/>
      <c r="E2" s="98"/>
      <c r="F2" s="98"/>
      <c r="G2" s="30"/>
      <c r="H2" s="30"/>
    </row>
    <row r="3" spans="1:8" ht="15.75">
      <c r="A3" s="340" t="s">
        <v>464</v>
      </c>
      <c r="B3" s="340"/>
      <c r="C3" s="340"/>
      <c r="D3" s="98"/>
      <c r="E3" s="98"/>
      <c r="F3" s="98"/>
      <c r="G3" s="30"/>
      <c r="H3" s="30"/>
    </row>
    <row r="4" spans="1:8" ht="15.75">
      <c r="A4" s="340" t="s">
        <v>450</v>
      </c>
      <c r="B4" s="340"/>
      <c r="C4" s="340"/>
      <c r="D4" s="28"/>
      <c r="E4" s="28"/>
      <c r="F4" s="28"/>
      <c r="G4" s="30"/>
      <c r="H4" s="30"/>
    </row>
    <row r="5" spans="1:8" ht="15.75">
      <c r="A5" s="340" t="s">
        <v>446</v>
      </c>
      <c r="B5" s="340"/>
      <c r="C5" s="340"/>
      <c r="D5" s="130"/>
      <c r="E5" s="130"/>
      <c r="F5" s="130"/>
      <c r="G5" s="30"/>
      <c r="H5" s="30"/>
    </row>
    <row r="6" spans="1:8" ht="34.5" customHeight="1">
      <c r="A6" s="389" t="s">
        <v>401</v>
      </c>
      <c r="B6" s="389"/>
      <c r="C6" s="389"/>
    </row>
    <row r="7" spans="1:8" ht="15.75">
      <c r="A7" s="32"/>
    </row>
    <row r="8" spans="1:8" ht="15.75">
      <c r="A8" s="32"/>
    </row>
    <row r="9" spans="1:8">
      <c r="A9" s="33"/>
    </row>
    <row r="10" spans="1:8">
      <c r="C10" s="31" t="s">
        <v>305</v>
      </c>
    </row>
    <row r="11" spans="1:8" ht="38.25">
      <c r="A11" s="41" t="s">
        <v>306</v>
      </c>
      <c r="B11" s="41" t="s">
        <v>307</v>
      </c>
      <c r="C11" s="41" t="s">
        <v>4</v>
      </c>
    </row>
    <row r="12" spans="1:8">
      <c r="A12" s="34">
        <v>1</v>
      </c>
      <c r="B12" s="34">
        <v>2</v>
      </c>
      <c r="C12" s="34">
        <v>3</v>
      </c>
    </row>
    <row r="13" spans="1:8" ht="38.25">
      <c r="A13" s="35" t="s">
        <v>308</v>
      </c>
      <c r="B13" s="35" t="s">
        <v>309</v>
      </c>
      <c r="C13" s="36">
        <v>0</v>
      </c>
    </row>
    <row r="14" spans="1:8" ht="38.25">
      <c r="A14" s="35" t="s">
        <v>310</v>
      </c>
      <c r="B14" s="35" t="s">
        <v>311</v>
      </c>
      <c r="C14" s="36">
        <v>0</v>
      </c>
    </row>
    <row r="15" spans="1:8" ht="51">
      <c r="A15" s="35" t="s">
        <v>312</v>
      </c>
      <c r="B15" s="35" t="s">
        <v>313</v>
      </c>
      <c r="C15" s="36">
        <v>0</v>
      </c>
    </row>
    <row r="16" spans="1:8" ht="51">
      <c r="A16" s="35" t="s">
        <v>314</v>
      </c>
      <c r="B16" s="35" t="s">
        <v>315</v>
      </c>
      <c r="C16" s="36">
        <v>0</v>
      </c>
    </row>
    <row r="17" spans="1:7" ht="25.5">
      <c r="A17" s="35" t="s">
        <v>316</v>
      </c>
      <c r="B17" s="35" t="s">
        <v>317</v>
      </c>
      <c r="C17" s="36">
        <v>0</v>
      </c>
      <c r="E17" s="18"/>
    </row>
    <row r="18" spans="1:7" ht="25.5">
      <c r="A18" s="35" t="s">
        <v>318</v>
      </c>
      <c r="B18" s="35" t="s">
        <v>319</v>
      </c>
      <c r="C18" s="36">
        <v>0</v>
      </c>
      <c r="E18" s="18"/>
      <c r="F18" s="18"/>
    </row>
    <row r="19" spans="1:7" ht="38.25">
      <c r="A19" s="35" t="s">
        <v>320</v>
      </c>
      <c r="B19" s="35" t="s">
        <v>321</v>
      </c>
      <c r="C19" s="36">
        <v>73000</v>
      </c>
      <c r="E19" s="18"/>
    </row>
    <row r="20" spans="1:7" s="39" customFormat="1">
      <c r="A20" s="37"/>
      <c r="B20" s="37" t="s">
        <v>322</v>
      </c>
      <c r="C20" s="38">
        <f>C13-C14+C15-C16+C17+C18+C19</f>
        <v>73000</v>
      </c>
      <c r="E20" s="40"/>
    </row>
    <row r="21" spans="1:7" ht="13.5" customHeight="1">
      <c r="A21" s="39"/>
    </row>
    <row r="22" spans="1:7" ht="13.5" customHeight="1">
      <c r="A22" s="39"/>
    </row>
    <row r="23" spans="1:7" s="28" customFormat="1" ht="15.75">
      <c r="A23" s="129" t="s">
        <v>436</v>
      </c>
      <c r="B23" s="129"/>
      <c r="C23" s="4" t="s">
        <v>427</v>
      </c>
    </row>
    <row r="24" spans="1:7" ht="15.75">
      <c r="A24" s="390"/>
      <c r="B24" s="390"/>
      <c r="C24" s="390"/>
      <c r="D24" s="3"/>
      <c r="E24" s="3"/>
      <c r="F24" s="3"/>
      <c r="G24" s="3"/>
    </row>
    <row r="25" spans="1:7" ht="15.75">
      <c r="A25" s="387"/>
      <c r="B25" s="388"/>
      <c r="C25" s="388"/>
    </row>
  </sheetData>
  <mergeCells count="8">
    <mergeCell ref="A3:C3"/>
    <mergeCell ref="A4:C4"/>
    <mergeCell ref="A5:C5"/>
    <mergeCell ref="B1:C1"/>
    <mergeCell ref="A25:C25"/>
    <mergeCell ref="A6:C6"/>
    <mergeCell ref="A24:C24"/>
    <mergeCell ref="A2:C2"/>
  </mergeCells>
  <pageMargins left="0.7" right="0.7" top="0.41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50"/>
  </sheetPr>
  <dimension ref="A1:H20"/>
  <sheetViews>
    <sheetView workbookViewId="0">
      <selection activeCell="F10" sqref="F10"/>
    </sheetView>
  </sheetViews>
  <sheetFormatPr defaultRowHeight="12.75"/>
  <cols>
    <col min="1" max="1" width="22.7109375" customWidth="1"/>
    <col min="2" max="2" width="34" customWidth="1"/>
    <col min="3" max="4" width="11.7109375" customWidth="1"/>
  </cols>
  <sheetData>
    <row r="1" spans="1:8" ht="15.75">
      <c r="A1" s="340" t="s">
        <v>413</v>
      </c>
      <c r="B1" s="391"/>
      <c r="C1" s="391"/>
      <c r="D1" s="391"/>
      <c r="E1" s="391"/>
      <c r="F1" s="30"/>
      <c r="G1" s="30"/>
      <c r="H1" s="30"/>
    </row>
    <row r="2" spans="1:8" ht="15.75">
      <c r="A2" s="340" t="s">
        <v>461</v>
      </c>
      <c r="B2" s="340"/>
      <c r="C2" s="340"/>
      <c r="D2" s="340"/>
      <c r="E2" s="340"/>
      <c r="F2" s="30"/>
      <c r="G2" s="30"/>
      <c r="H2" s="30"/>
    </row>
    <row r="3" spans="1:8" ht="15.75">
      <c r="A3" s="340" t="s">
        <v>462</v>
      </c>
      <c r="B3" s="340"/>
      <c r="C3" s="340"/>
      <c r="D3" s="340"/>
      <c r="E3" s="340"/>
      <c r="F3" s="30"/>
      <c r="G3" s="30"/>
      <c r="H3" s="30"/>
    </row>
    <row r="4" spans="1:8" ht="15.75">
      <c r="A4" s="340" t="s">
        <v>450</v>
      </c>
      <c r="B4" s="340"/>
      <c r="C4" s="340"/>
      <c r="D4" s="340"/>
      <c r="E4" s="340"/>
      <c r="F4" s="30"/>
      <c r="G4" s="30"/>
      <c r="H4" s="30"/>
    </row>
    <row r="5" spans="1:8" ht="15.75">
      <c r="A5" s="340" t="s">
        <v>446</v>
      </c>
      <c r="B5" s="340"/>
      <c r="C5" s="340"/>
      <c r="D5" s="340"/>
      <c r="E5" s="340"/>
      <c r="F5" s="30"/>
      <c r="G5" s="30"/>
      <c r="H5" s="30"/>
    </row>
    <row r="6" spans="1:8" ht="38.25" customHeight="1">
      <c r="A6" s="389" t="s">
        <v>402</v>
      </c>
      <c r="B6" s="389"/>
      <c r="C6" s="389"/>
      <c r="D6" s="389"/>
      <c r="E6" s="389"/>
    </row>
    <row r="7" spans="1:8" ht="15.75">
      <c r="A7" s="32"/>
    </row>
    <row r="8" spans="1:8" ht="15.75">
      <c r="A8" s="32"/>
    </row>
    <row r="9" spans="1:8">
      <c r="A9" s="33"/>
    </row>
    <row r="10" spans="1:8">
      <c r="C10" s="31"/>
      <c r="D10" s="395" t="s">
        <v>389</v>
      </c>
      <c r="E10" s="395"/>
    </row>
    <row r="11" spans="1:8" ht="38.25">
      <c r="A11" s="34" t="s">
        <v>306</v>
      </c>
      <c r="B11" s="41" t="s">
        <v>307</v>
      </c>
      <c r="C11" s="41" t="s">
        <v>200</v>
      </c>
      <c r="D11" s="41" t="s">
        <v>333</v>
      </c>
      <c r="E11" s="96" t="s">
        <v>406</v>
      </c>
    </row>
    <row r="12" spans="1:8">
      <c r="A12" s="34">
        <v>1</v>
      </c>
      <c r="B12" s="34">
        <v>2</v>
      </c>
      <c r="C12" s="34">
        <v>3</v>
      </c>
      <c r="D12" s="34">
        <v>3</v>
      </c>
      <c r="E12" s="95"/>
    </row>
    <row r="13" spans="1:8" ht="63.75">
      <c r="A13" s="35" t="s">
        <v>314</v>
      </c>
      <c r="B13" s="35" t="s">
        <v>315</v>
      </c>
      <c r="C13" s="64">
        <v>0</v>
      </c>
      <c r="D13" s="64">
        <v>62816.3</v>
      </c>
      <c r="E13" s="64">
        <v>0</v>
      </c>
    </row>
    <row r="14" spans="1:8" s="39" customFormat="1" ht="38.25" customHeight="1">
      <c r="A14" s="393" t="s">
        <v>323</v>
      </c>
      <c r="B14" s="394"/>
      <c r="C14" s="65">
        <v>0</v>
      </c>
      <c r="D14" s="65">
        <v>0</v>
      </c>
      <c r="E14" s="97">
        <v>0</v>
      </c>
    </row>
    <row r="15" spans="1:8">
      <c r="A15" s="39"/>
    </row>
    <row r="16" spans="1:8">
      <c r="A16" s="39"/>
    </row>
    <row r="17" spans="1:7">
      <c r="A17" s="39"/>
    </row>
    <row r="18" spans="1:7" s="28" customFormat="1" ht="15.75">
      <c r="A18" s="392" t="s">
        <v>431</v>
      </c>
      <c r="B18" s="392"/>
      <c r="C18" s="4"/>
      <c r="D18" s="396" t="s">
        <v>432</v>
      </c>
      <c r="E18" s="396"/>
    </row>
    <row r="19" spans="1:7" ht="15.75">
      <c r="A19" s="390"/>
      <c r="B19" s="390"/>
      <c r="C19" s="390"/>
      <c r="D19" s="3"/>
      <c r="E19" s="3"/>
      <c r="F19" s="3"/>
      <c r="G19" s="3"/>
    </row>
    <row r="20" spans="1:7" ht="15.75">
      <c r="A20" s="94"/>
      <c r="B20" s="93"/>
      <c r="C20" s="93"/>
      <c r="D20" s="93"/>
    </row>
  </sheetData>
  <mergeCells count="11">
    <mergeCell ref="A1:E1"/>
    <mergeCell ref="A18:B18"/>
    <mergeCell ref="A14:B14"/>
    <mergeCell ref="A19:C19"/>
    <mergeCell ref="D10:E10"/>
    <mergeCell ref="A6:E6"/>
    <mergeCell ref="D18:E18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A1:K374"/>
  <sheetViews>
    <sheetView workbookViewId="0">
      <selection activeCell="L23" sqref="L23"/>
    </sheetView>
  </sheetViews>
  <sheetFormatPr defaultRowHeight="12.75"/>
  <cols>
    <col min="1" max="1" width="41.5703125" style="53" customWidth="1"/>
    <col min="2" max="6" width="9.140625" style="53"/>
    <col min="7" max="7" width="13.140625" style="54" customWidth="1"/>
    <col min="8" max="8" width="11.85546875" style="54" customWidth="1"/>
    <col min="9" max="9" width="11" style="54" customWidth="1"/>
    <col min="10" max="10" width="11.85546875" style="54" customWidth="1"/>
    <col min="11" max="11" width="10.7109375" style="53" bestFit="1" customWidth="1"/>
    <col min="12" max="16384" width="9.140625" style="53"/>
  </cols>
  <sheetData>
    <row r="1" spans="1:10" ht="15.75">
      <c r="A1" s="19"/>
      <c r="B1" s="19"/>
      <c r="C1" s="19"/>
      <c r="D1" s="19"/>
      <c r="E1" s="89"/>
      <c r="F1" s="386" t="s">
        <v>339</v>
      </c>
      <c r="G1" s="386"/>
      <c r="H1" s="386"/>
      <c r="I1" s="386"/>
      <c r="J1" s="386"/>
    </row>
    <row r="2" spans="1:10" ht="15.75">
      <c r="A2" s="19"/>
      <c r="B2" s="19"/>
      <c r="C2" s="19"/>
      <c r="D2" s="19"/>
      <c r="E2" s="386" t="s">
        <v>340</v>
      </c>
      <c r="F2" s="386"/>
      <c r="G2" s="386"/>
      <c r="H2" s="386"/>
      <c r="I2" s="386"/>
      <c r="J2" s="386"/>
    </row>
    <row r="3" spans="1:10" ht="15.75">
      <c r="A3" s="20"/>
      <c r="B3" s="20"/>
      <c r="C3" s="20"/>
      <c r="D3" s="20"/>
      <c r="E3" s="21"/>
      <c r="F3" s="386" t="s">
        <v>341</v>
      </c>
      <c r="G3" s="386"/>
      <c r="H3" s="386"/>
      <c r="I3" s="386"/>
      <c r="J3" s="386"/>
    </row>
    <row r="4" spans="1:10">
      <c r="A4" s="12"/>
      <c r="B4" s="12"/>
      <c r="C4" s="12"/>
      <c r="D4" s="12"/>
      <c r="E4" s="12"/>
      <c r="F4" s="12"/>
      <c r="G4" s="56"/>
    </row>
    <row r="5" spans="1:10" ht="24" customHeight="1">
      <c r="A5" s="399" t="s">
        <v>342</v>
      </c>
      <c r="B5" s="399"/>
      <c r="C5" s="399"/>
      <c r="D5" s="399"/>
      <c r="E5" s="399"/>
      <c r="F5" s="399"/>
      <c r="G5" s="399"/>
      <c r="H5" s="399"/>
      <c r="I5" s="399"/>
      <c r="J5" s="399"/>
    </row>
    <row r="6" spans="1:10">
      <c r="A6" s="50"/>
      <c r="B6" s="50"/>
      <c r="C6" s="50"/>
      <c r="D6" s="50"/>
      <c r="E6" s="50"/>
      <c r="F6" s="50"/>
      <c r="G6" s="57"/>
    </row>
    <row r="7" spans="1:10">
      <c r="A7" s="50"/>
      <c r="B7" s="50"/>
      <c r="C7" s="50"/>
      <c r="D7" s="50"/>
      <c r="E7" s="50"/>
      <c r="F7" s="50"/>
      <c r="G7" s="406" t="s">
        <v>105</v>
      </c>
      <c r="H7" s="406"/>
      <c r="I7" s="406"/>
      <c r="J7" s="406"/>
    </row>
    <row r="8" spans="1:10" hidden="1">
      <c r="A8" s="50"/>
      <c r="B8" s="50"/>
      <c r="C8" s="50"/>
      <c r="D8" s="50"/>
      <c r="E8" s="50"/>
      <c r="F8" s="50"/>
      <c r="G8" s="58"/>
    </row>
    <row r="9" spans="1:10">
      <c r="A9" s="405" t="s">
        <v>2</v>
      </c>
      <c r="B9" s="51"/>
      <c r="C9" s="403" t="s">
        <v>3</v>
      </c>
      <c r="D9" s="403"/>
      <c r="E9" s="403"/>
      <c r="F9" s="403"/>
      <c r="G9" s="407" t="s">
        <v>337</v>
      </c>
      <c r="H9" s="400" t="s">
        <v>338</v>
      </c>
      <c r="I9" s="401"/>
      <c r="J9" s="402"/>
    </row>
    <row r="10" spans="1:10">
      <c r="A10" s="404"/>
      <c r="B10" s="405" t="s">
        <v>106</v>
      </c>
      <c r="C10" s="404" t="s">
        <v>5</v>
      </c>
      <c r="D10" s="403" t="s">
        <v>6</v>
      </c>
      <c r="E10" s="403" t="s">
        <v>107</v>
      </c>
      <c r="F10" s="403" t="s">
        <v>8</v>
      </c>
      <c r="G10" s="407"/>
      <c r="H10" s="370">
        <v>2013</v>
      </c>
      <c r="I10" s="370">
        <v>2014</v>
      </c>
      <c r="J10" s="370">
        <v>2015</v>
      </c>
    </row>
    <row r="11" spans="1:10">
      <c r="A11" s="404"/>
      <c r="B11" s="404"/>
      <c r="C11" s="404"/>
      <c r="D11" s="403"/>
      <c r="E11" s="403"/>
      <c r="F11" s="403"/>
      <c r="G11" s="407"/>
      <c r="H11" s="372"/>
      <c r="I11" s="372"/>
      <c r="J11" s="372"/>
    </row>
    <row r="12" spans="1:10">
      <c r="A12" s="49">
        <v>1</v>
      </c>
      <c r="B12" s="49">
        <v>2</v>
      </c>
      <c r="C12" s="52">
        <v>3</v>
      </c>
      <c r="D12" s="52">
        <v>4</v>
      </c>
      <c r="E12" s="52">
        <v>5</v>
      </c>
      <c r="F12" s="52">
        <v>6</v>
      </c>
      <c r="G12" s="59">
        <v>7</v>
      </c>
      <c r="H12" s="55">
        <v>8</v>
      </c>
      <c r="I12" s="55">
        <v>9</v>
      </c>
      <c r="J12" s="55">
        <v>10</v>
      </c>
    </row>
    <row r="13" spans="1:10" ht="25.5">
      <c r="A13" s="1" t="s">
        <v>108</v>
      </c>
      <c r="B13" s="67">
        <v>803</v>
      </c>
      <c r="C13" s="66"/>
      <c r="D13" s="66"/>
      <c r="E13" s="66"/>
      <c r="F13" s="66"/>
      <c r="G13" s="45">
        <f>G14+G37+G48+G67+G105+G111</f>
        <v>877234.09999999986</v>
      </c>
      <c r="H13" s="45">
        <f>754780.9+7549</f>
        <v>762329.9</v>
      </c>
      <c r="I13" s="45">
        <v>876117.5</v>
      </c>
      <c r="J13" s="45">
        <v>693740.3</v>
      </c>
    </row>
    <row r="14" spans="1:10">
      <c r="A14" s="7" t="s">
        <v>9</v>
      </c>
      <c r="B14" s="61"/>
      <c r="C14" s="6" t="s">
        <v>10</v>
      </c>
      <c r="D14" s="62"/>
      <c r="E14" s="62"/>
      <c r="F14" s="62"/>
      <c r="G14" s="46">
        <f>G15+G33</f>
        <v>117739</v>
      </c>
      <c r="H14" s="46">
        <f>H15+H33</f>
        <v>106834.79999999999</v>
      </c>
      <c r="I14" s="46">
        <f>I15+I33</f>
        <v>112172.8</v>
      </c>
      <c r="J14" s="46">
        <f>J15+J33</f>
        <v>117781.44</v>
      </c>
    </row>
    <row r="15" spans="1:10" ht="51">
      <c r="A15" s="7" t="s">
        <v>18</v>
      </c>
      <c r="B15" s="61"/>
      <c r="C15" s="6" t="s">
        <v>10</v>
      </c>
      <c r="D15" s="6" t="s">
        <v>19</v>
      </c>
      <c r="E15" s="6"/>
      <c r="F15" s="6"/>
      <c r="G15" s="46">
        <f>G16+G26+G28</f>
        <v>117629</v>
      </c>
      <c r="H15" s="46">
        <f>H16</f>
        <v>106724.79999999999</v>
      </c>
      <c r="I15" s="46">
        <v>112172.8</v>
      </c>
      <c r="J15" s="46">
        <f t="shared" ref="J15:J78" si="0">I15*105%</f>
        <v>117781.44</v>
      </c>
    </row>
    <row r="16" spans="1:10" ht="51">
      <c r="A16" s="7" t="s">
        <v>109</v>
      </c>
      <c r="B16" s="61"/>
      <c r="C16" s="6" t="s">
        <v>10</v>
      </c>
      <c r="D16" s="6" t="s">
        <v>19</v>
      </c>
      <c r="E16" s="6" t="s">
        <v>14</v>
      </c>
      <c r="F16" s="6"/>
      <c r="G16" s="46">
        <f>G17</f>
        <v>115674.5</v>
      </c>
      <c r="H16" s="46">
        <f>H17+H26+H30</f>
        <v>106724.79999999999</v>
      </c>
      <c r="I16" s="46">
        <v>112172.8</v>
      </c>
      <c r="J16" s="46">
        <f t="shared" si="0"/>
        <v>117781.44</v>
      </c>
    </row>
    <row r="17" spans="1:10" ht="16.5" customHeight="1">
      <c r="A17" s="7" t="s">
        <v>15</v>
      </c>
      <c r="B17" s="61"/>
      <c r="C17" s="6" t="s">
        <v>10</v>
      </c>
      <c r="D17" s="6" t="s">
        <v>19</v>
      </c>
      <c r="E17" s="6" t="s">
        <v>16</v>
      </c>
      <c r="F17" s="6"/>
      <c r="G17" s="46">
        <f>G18</f>
        <v>115674.5</v>
      </c>
      <c r="H17" s="46">
        <f>H18</f>
        <v>104781.09999999999</v>
      </c>
      <c r="I17" s="46">
        <f t="shared" ref="I17:I78" si="1">H17*105.5%</f>
        <v>110544.06049999998</v>
      </c>
      <c r="J17" s="46">
        <f t="shared" si="0"/>
        <v>116071.26352499999</v>
      </c>
    </row>
    <row r="18" spans="1:10" ht="18" customHeight="1">
      <c r="A18" s="7" t="s">
        <v>15</v>
      </c>
      <c r="B18" s="61"/>
      <c r="C18" s="6" t="s">
        <v>10</v>
      </c>
      <c r="D18" s="6" t="s">
        <v>19</v>
      </c>
      <c r="E18" s="6" t="s">
        <v>17</v>
      </c>
      <c r="F18" s="6"/>
      <c r="G18" s="46">
        <f>SUM(G19:G25)</f>
        <v>115674.5</v>
      </c>
      <c r="H18" s="46">
        <f>SUM(H19:H25)</f>
        <v>104781.09999999999</v>
      </c>
      <c r="I18" s="46">
        <f t="shared" si="1"/>
        <v>110544.06049999998</v>
      </c>
      <c r="J18" s="46">
        <f t="shared" si="0"/>
        <v>116071.26352499999</v>
      </c>
    </row>
    <row r="19" spans="1:10" ht="17.25" customHeight="1">
      <c r="A19" s="7" t="s">
        <v>209</v>
      </c>
      <c r="B19" s="61"/>
      <c r="C19" s="6" t="s">
        <v>10</v>
      </c>
      <c r="D19" s="6" t="s">
        <v>19</v>
      </c>
      <c r="E19" s="6" t="s">
        <v>17</v>
      </c>
      <c r="F19" s="6" t="s">
        <v>167</v>
      </c>
      <c r="G19" s="46">
        <v>81049.3</v>
      </c>
      <c r="H19" s="46">
        <v>84796.2</v>
      </c>
      <c r="I19" s="46">
        <f t="shared" si="1"/>
        <v>89459.990999999995</v>
      </c>
      <c r="J19" s="46">
        <f t="shared" si="0"/>
        <v>93932.990550000002</v>
      </c>
    </row>
    <row r="20" spans="1:10" ht="25.5">
      <c r="A20" s="7" t="s">
        <v>221</v>
      </c>
      <c r="B20" s="61"/>
      <c r="C20" s="6" t="s">
        <v>10</v>
      </c>
      <c r="D20" s="6" t="s">
        <v>19</v>
      </c>
      <c r="E20" s="6" t="s">
        <v>17</v>
      </c>
      <c r="F20" s="6" t="s">
        <v>203</v>
      </c>
      <c r="G20" s="46">
        <v>953.3</v>
      </c>
      <c r="H20" s="46">
        <v>566</v>
      </c>
      <c r="I20" s="46">
        <f t="shared" si="1"/>
        <v>597.13</v>
      </c>
      <c r="J20" s="46">
        <f t="shared" si="0"/>
        <v>626.98649999999998</v>
      </c>
    </row>
    <row r="21" spans="1:10" ht="25.5">
      <c r="A21" s="7" t="s">
        <v>205</v>
      </c>
      <c r="B21" s="61"/>
      <c r="C21" s="6" t="s">
        <v>10</v>
      </c>
      <c r="D21" s="6" t="s">
        <v>19</v>
      </c>
      <c r="E21" s="6" t="s">
        <v>17</v>
      </c>
      <c r="F21" s="6" t="s">
        <v>204</v>
      </c>
      <c r="G21" s="46">
        <v>3273.2</v>
      </c>
      <c r="H21" s="46">
        <v>4232</v>
      </c>
      <c r="I21" s="46">
        <f t="shared" si="1"/>
        <v>4464.7599999999993</v>
      </c>
      <c r="J21" s="46">
        <f t="shared" si="0"/>
        <v>4687.9979999999996</v>
      </c>
    </row>
    <row r="22" spans="1:10" ht="38.25">
      <c r="A22" s="7" t="s">
        <v>223</v>
      </c>
      <c r="B22" s="61"/>
      <c r="C22" s="6" t="s">
        <v>10</v>
      </c>
      <c r="D22" s="6" t="s">
        <v>19</v>
      </c>
      <c r="E22" s="6" t="s">
        <v>324</v>
      </c>
      <c r="F22" s="6" t="s">
        <v>175</v>
      </c>
      <c r="G22" s="46">
        <v>0</v>
      </c>
      <c r="H22" s="46">
        <v>448.5</v>
      </c>
      <c r="I22" s="46">
        <f t="shared" si="1"/>
        <v>473.16749999999996</v>
      </c>
      <c r="J22" s="46">
        <f t="shared" si="0"/>
        <v>496.825875</v>
      </c>
    </row>
    <row r="23" spans="1:10" ht="25.5">
      <c r="A23" s="7" t="s">
        <v>207</v>
      </c>
      <c r="B23" s="61"/>
      <c r="C23" s="6" t="s">
        <v>10</v>
      </c>
      <c r="D23" s="6" t="s">
        <v>19</v>
      </c>
      <c r="E23" s="6" t="s">
        <v>17</v>
      </c>
      <c r="F23" s="6" t="s">
        <v>168</v>
      </c>
      <c r="G23" s="46">
        <f>28354.8+294.8</f>
        <v>28649.599999999999</v>
      </c>
      <c r="H23" s="46">
        <f>13695.8-400</f>
        <v>13295.8</v>
      </c>
      <c r="I23" s="46">
        <f t="shared" si="1"/>
        <v>14027.068999999998</v>
      </c>
      <c r="J23" s="46">
        <f t="shared" si="0"/>
        <v>14728.422449999998</v>
      </c>
    </row>
    <row r="24" spans="1:10" ht="25.5">
      <c r="A24" s="7" t="s">
        <v>280</v>
      </c>
      <c r="B24" s="61"/>
      <c r="C24" s="6" t="s">
        <v>10</v>
      </c>
      <c r="D24" s="6" t="s">
        <v>19</v>
      </c>
      <c r="E24" s="6" t="s">
        <v>17</v>
      </c>
      <c r="F24" s="6" t="s">
        <v>189</v>
      </c>
      <c r="G24" s="46">
        <v>772.8</v>
      </c>
      <c r="H24" s="46">
        <v>391.9</v>
      </c>
      <c r="I24" s="46">
        <f t="shared" si="1"/>
        <v>413.45449999999994</v>
      </c>
      <c r="J24" s="46">
        <f t="shared" si="0"/>
        <v>434.12722499999995</v>
      </c>
    </row>
    <row r="25" spans="1:10">
      <c r="A25" s="7" t="s">
        <v>206</v>
      </c>
      <c r="B25" s="61"/>
      <c r="C25" s="6" t="s">
        <v>10</v>
      </c>
      <c r="D25" s="6" t="s">
        <v>19</v>
      </c>
      <c r="E25" s="6" t="s">
        <v>17</v>
      </c>
      <c r="F25" s="6" t="s">
        <v>192</v>
      </c>
      <c r="G25" s="46">
        <v>976.3</v>
      </c>
      <c r="H25" s="46">
        <v>1050.7</v>
      </c>
      <c r="I25" s="46">
        <f t="shared" si="1"/>
        <v>1108.4884999999999</v>
      </c>
      <c r="J25" s="46">
        <f t="shared" si="0"/>
        <v>1163.9129250000001</v>
      </c>
    </row>
    <row r="26" spans="1:10" ht="38.25">
      <c r="A26" s="7" t="s">
        <v>20</v>
      </c>
      <c r="B26" s="61"/>
      <c r="C26" s="6" t="s">
        <v>10</v>
      </c>
      <c r="D26" s="6" t="s">
        <v>19</v>
      </c>
      <c r="E26" s="6" t="s">
        <v>21</v>
      </c>
      <c r="F26" s="6"/>
      <c r="G26" s="46">
        <f>G27</f>
        <v>1389.5</v>
      </c>
      <c r="H26" s="46">
        <f>H27</f>
        <v>1543.7</v>
      </c>
      <c r="I26" s="46">
        <f t="shared" si="1"/>
        <v>1628.6034999999999</v>
      </c>
      <c r="J26" s="46">
        <f t="shared" si="0"/>
        <v>1710.0336749999999</v>
      </c>
    </row>
    <row r="27" spans="1:10" ht="18.75" customHeight="1">
      <c r="A27" s="7" t="s">
        <v>209</v>
      </c>
      <c r="B27" s="61"/>
      <c r="C27" s="6" t="s">
        <v>10</v>
      </c>
      <c r="D27" s="6" t="s">
        <v>19</v>
      </c>
      <c r="E27" s="6" t="s">
        <v>21</v>
      </c>
      <c r="F27" s="6" t="s">
        <v>167</v>
      </c>
      <c r="G27" s="46">
        <v>1389.5</v>
      </c>
      <c r="H27" s="46">
        <v>1543.7</v>
      </c>
      <c r="I27" s="46">
        <f t="shared" si="1"/>
        <v>1628.6034999999999</v>
      </c>
      <c r="J27" s="46">
        <f t="shared" si="0"/>
        <v>1710.0336749999999</v>
      </c>
    </row>
    <row r="28" spans="1:10" ht="17.25" customHeight="1">
      <c r="A28" s="7" t="s">
        <v>353</v>
      </c>
      <c r="B28" s="61"/>
      <c r="C28" s="6" t="s">
        <v>10</v>
      </c>
      <c r="D28" s="6" t="s">
        <v>19</v>
      </c>
      <c r="E28" s="6" t="s">
        <v>352</v>
      </c>
      <c r="F28" s="6"/>
      <c r="G28" s="46">
        <f>G29</f>
        <v>565</v>
      </c>
      <c r="H28" s="46">
        <v>0</v>
      </c>
      <c r="I28" s="46">
        <v>0</v>
      </c>
      <c r="J28" s="46">
        <v>0</v>
      </c>
    </row>
    <row r="29" spans="1:10" ht="31.5" customHeight="1">
      <c r="A29" s="7" t="s">
        <v>207</v>
      </c>
      <c r="B29" s="61"/>
      <c r="C29" s="6" t="s">
        <v>10</v>
      </c>
      <c r="D29" s="6" t="s">
        <v>19</v>
      </c>
      <c r="E29" s="6" t="s">
        <v>352</v>
      </c>
      <c r="F29" s="6" t="s">
        <v>168</v>
      </c>
      <c r="G29" s="46">
        <v>565</v>
      </c>
      <c r="H29" s="46">
        <v>0</v>
      </c>
      <c r="I29" s="46">
        <v>0</v>
      </c>
      <c r="J29" s="46">
        <v>0</v>
      </c>
    </row>
    <row r="30" spans="1:10" ht="20.25" customHeight="1">
      <c r="A30" s="7" t="s">
        <v>15</v>
      </c>
      <c r="B30" s="61"/>
      <c r="C30" s="6" t="s">
        <v>10</v>
      </c>
      <c r="D30" s="6" t="s">
        <v>19</v>
      </c>
      <c r="E30" s="6"/>
      <c r="F30" s="6"/>
      <c r="G30" s="46"/>
      <c r="H30" s="46">
        <f>H31</f>
        <v>400</v>
      </c>
      <c r="I30" s="46">
        <v>400</v>
      </c>
      <c r="J30" s="46">
        <v>400</v>
      </c>
    </row>
    <row r="31" spans="1:10" ht="63.75">
      <c r="A31" s="7" t="s">
        <v>336</v>
      </c>
      <c r="B31" s="61"/>
      <c r="C31" s="6" t="s">
        <v>10</v>
      </c>
      <c r="D31" s="6" t="s">
        <v>19</v>
      </c>
      <c r="E31" s="6" t="s">
        <v>335</v>
      </c>
      <c r="F31" s="6"/>
      <c r="G31" s="46">
        <v>0</v>
      </c>
      <c r="H31" s="46">
        <f>H32</f>
        <v>400</v>
      </c>
      <c r="I31" s="46">
        <f>I32</f>
        <v>400</v>
      </c>
      <c r="J31" s="46">
        <f>J32</f>
        <v>400</v>
      </c>
    </row>
    <row r="32" spans="1:10" ht="25.5">
      <c r="A32" s="7" t="s">
        <v>207</v>
      </c>
      <c r="B32" s="61"/>
      <c r="C32" s="6" t="s">
        <v>10</v>
      </c>
      <c r="D32" s="6" t="s">
        <v>19</v>
      </c>
      <c r="E32" s="6" t="s">
        <v>335</v>
      </c>
      <c r="F32" s="6" t="s">
        <v>168</v>
      </c>
      <c r="G32" s="46">
        <v>0</v>
      </c>
      <c r="H32" s="46">
        <v>400</v>
      </c>
      <c r="I32" s="46">
        <v>400</v>
      </c>
      <c r="J32" s="46">
        <v>400</v>
      </c>
    </row>
    <row r="33" spans="1:10" ht="17.25" customHeight="1">
      <c r="A33" s="7" t="s">
        <v>28</v>
      </c>
      <c r="B33" s="61"/>
      <c r="C33" s="8" t="s">
        <v>10</v>
      </c>
      <c r="D33" s="6" t="s">
        <v>154</v>
      </c>
      <c r="E33" s="6"/>
      <c r="F33" s="6"/>
      <c r="G33" s="45">
        <f>G34</f>
        <v>110</v>
      </c>
      <c r="H33" s="45">
        <f>H34</f>
        <v>110</v>
      </c>
      <c r="I33" s="46">
        <v>0</v>
      </c>
      <c r="J33" s="46">
        <f t="shared" si="0"/>
        <v>0</v>
      </c>
    </row>
    <row r="34" spans="1:10" ht="38.25">
      <c r="A34" s="70" t="s">
        <v>196</v>
      </c>
      <c r="B34" s="61"/>
      <c r="C34" s="8" t="s">
        <v>10</v>
      </c>
      <c r="D34" s="6" t="s">
        <v>154</v>
      </c>
      <c r="E34" s="6" t="s">
        <v>296</v>
      </c>
      <c r="F34" s="6"/>
      <c r="G34" s="46">
        <f>G35</f>
        <v>110</v>
      </c>
      <c r="H34" s="46">
        <f>H35</f>
        <v>110</v>
      </c>
      <c r="I34" s="46">
        <v>0</v>
      </c>
      <c r="J34" s="46">
        <f t="shared" si="0"/>
        <v>0</v>
      </c>
    </row>
    <row r="35" spans="1:10" ht="25.5">
      <c r="A35" s="7" t="s">
        <v>207</v>
      </c>
      <c r="B35" s="67"/>
      <c r="C35" s="8" t="s">
        <v>10</v>
      </c>
      <c r="D35" s="6" t="s">
        <v>154</v>
      </c>
      <c r="E35" s="6" t="s">
        <v>296</v>
      </c>
      <c r="F35" s="6" t="s">
        <v>168</v>
      </c>
      <c r="G35" s="46">
        <v>110</v>
      </c>
      <c r="H35" s="46">
        <v>110</v>
      </c>
      <c r="I35" s="46">
        <v>0</v>
      </c>
      <c r="J35" s="46">
        <f t="shared" si="0"/>
        <v>0</v>
      </c>
    </row>
    <row r="36" spans="1:10" ht="25.5">
      <c r="A36" s="7" t="s">
        <v>32</v>
      </c>
      <c r="B36" s="61"/>
      <c r="C36" s="6" t="s">
        <v>12</v>
      </c>
      <c r="D36" s="6"/>
      <c r="E36" s="6"/>
      <c r="F36" s="6"/>
      <c r="G36" s="46">
        <f>G37</f>
        <v>10744.400000000001</v>
      </c>
      <c r="H36" s="46">
        <f>H38+H41</f>
        <v>11879.6</v>
      </c>
      <c r="I36" s="46">
        <f t="shared" si="1"/>
        <v>12532.977999999999</v>
      </c>
      <c r="J36" s="46">
        <f t="shared" si="0"/>
        <v>13159.626899999999</v>
      </c>
    </row>
    <row r="37" spans="1:10" ht="38.25">
      <c r="A37" s="7" t="s">
        <v>111</v>
      </c>
      <c r="B37" s="61"/>
      <c r="C37" s="6" t="s">
        <v>12</v>
      </c>
      <c r="D37" s="6" t="s">
        <v>33</v>
      </c>
      <c r="E37" s="6"/>
      <c r="F37" s="6"/>
      <c r="G37" s="46">
        <f>G38+G40</f>
        <v>10744.400000000001</v>
      </c>
      <c r="H37" s="46">
        <f>H38+H41</f>
        <v>11879.6</v>
      </c>
      <c r="I37" s="46">
        <f t="shared" si="1"/>
        <v>12532.977999999999</v>
      </c>
      <c r="J37" s="46">
        <f t="shared" si="0"/>
        <v>13159.626899999999</v>
      </c>
    </row>
    <row r="38" spans="1:10" ht="76.5">
      <c r="A38" s="7" t="s">
        <v>266</v>
      </c>
      <c r="B38" s="61"/>
      <c r="C38" s="6" t="s">
        <v>12</v>
      </c>
      <c r="D38" s="6" t="s">
        <v>33</v>
      </c>
      <c r="E38" s="6" t="s">
        <v>267</v>
      </c>
      <c r="F38" s="6"/>
      <c r="G38" s="46">
        <f>G39</f>
        <v>100</v>
      </c>
      <c r="H38" s="46">
        <f>H39</f>
        <v>130</v>
      </c>
      <c r="I38" s="46">
        <v>160</v>
      </c>
      <c r="J38" s="46">
        <v>0</v>
      </c>
    </row>
    <row r="39" spans="1:10" ht="25.5">
      <c r="A39" s="7" t="s">
        <v>207</v>
      </c>
      <c r="B39" s="61"/>
      <c r="C39" s="6" t="s">
        <v>12</v>
      </c>
      <c r="D39" s="6" t="s">
        <v>33</v>
      </c>
      <c r="E39" s="6" t="s">
        <v>267</v>
      </c>
      <c r="F39" s="6" t="s">
        <v>168</v>
      </c>
      <c r="G39" s="46">
        <v>100</v>
      </c>
      <c r="H39" s="46">
        <v>130</v>
      </c>
      <c r="I39" s="46">
        <v>160</v>
      </c>
      <c r="J39" s="46">
        <v>0</v>
      </c>
    </row>
    <row r="40" spans="1:10" ht="38.25">
      <c r="A40" s="7" t="s">
        <v>112</v>
      </c>
      <c r="B40" s="61"/>
      <c r="C40" s="6" t="s">
        <v>12</v>
      </c>
      <c r="D40" s="6" t="s">
        <v>33</v>
      </c>
      <c r="E40" s="6" t="s">
        <v>35</v>
      </c>
      <c r="F40" s="6"/>
      <c r="G40" s="46">
        <f>G41</f>
        <v>10644.400000000001</v>
      </c>
      <c r="H40" s="46">
        <f>H41</f>
        <v>11749.6</v>
      </c>
      <c r="I40" s="46">
        <f t="shared" si="1"/>
        <v>12395.828</v>
      </c>
      <c r="J40" s="46">
        <f t="shared" si="0"/>
        <v>13015.6194</v>
      </c>
    </row>
    <row r="41" spans="1:10" ht="38.25">
      <c r="A41" s="7" t="s">
        <v>112</v>
      </c>
      <c r="B41" s="61"/>
      <c r="C41" s="6" t="s">
        <v>12</v>
      </c>
      <c r="D41" s="6" t="s">
        <v>33</v>
      </c>
      <c r="E41" s="6" t="s">
        <v>37</v>
      </c>
      <c r="F41" s="6"/>
      <c r="G41" s="46">
        <f>SUM(G42:G47)</f>
        <v>10644.400000000001</v>
      </c>
      <c r="H41" s="46">
        <f>SUM(H42:H47)</f>
        <v>11749.6</v>
      </c>
      <c r="I41" s="46">
        <f t="shared" si="1"/>
        <v>12395.828</v>
      </c>
      <c r="J41" s="46">
        <f t="shared" si="0"/>
        <v>13015.6194</v>
      </c>
    </row>
    <row r="42" spans="1:10" ht="18.75" customHeight="1">
      <c r="A42" s="7" t="s">
        <v>209</v>
      </c>
      <c r="B42" s="61"/>
      <c r="C42" s="6" t="s">
        <v>12</v>
      </c>
      <c r="D42" s="6" t="s">
        <v>33</v>
      </c>
      <c r="E42" s="6" t="s">
        <v>37</v>
      </c>
      <c r="F42" s="6" t="s">
        <v>171</v>
      </c>
      <c r="G42" s="46">
        <v>8888.1</v>
      </c>
      <c r="H42" s="46">
        <v>10809.5</v>
      </c>
      <c r="I42" s="46">
        <f t="shared" si="1"/>
        <v>11404.022499999999</v>
      </c>
      <c r="J42" s="46">
        <f t="shared" si="0"/>
        <v>11974.223624999999</v>
      </c>
    </row>
    <row r="43" spans="1:10" ht="25.5">
      <c r="A43" s="7" t="s">
        <v>205</v>
      </c>
      <c r="B43" s="61"/>
      <c r="C43" s="6" t="s">
        <v>12</v>
      </c>
      <c r="D43" s="6" t="s">
        <v>33</v>
      </c>
      <c r="E43" s="6" t="s">
        <v>37</v>
      </c>
      <c r="F43" s="6" t="s">
        <v>204</v>
      </c>
      <c r="G43" s="46">
        <v>142.5</v>
      </c>
      <c r="H43" s="46">
        <v>220.8</v>
      </c>
      <c r="I43" s="46">
        <f t="shared" si="1"/>
        <v>232.94399999999999</v>
      </c>
      <c r="J43" s="46">
        <f t="shared" si="0"/>
        <v>244.59119999999999</v>
      </c>
    </row>
    <row r="44" spans="1:10" ht="38.25">
      <c r="A44" s="7" t="s">
        <v>223</v>
      </c>
      <c r="B44" s="61"/>
      <c r="C44" s="6" t="s">
        <v>12</v>
      </c>
      <c r="D44" s="6" t="s">
        <v>33</v>
      </c>
      <c r="E44" s="6" t="s">
        <v>37</v>
      </c>
      <c r="F44" s="6" t="s">
        <v>175</v>
      </c>
      <c r="G44" s="46">
        <v>405.7</v>
      </c>
      <c r="H44" s="46">
        <v>84</v>
      </c>
      <c r="I44" s="46">
        <f t="shared" si="1"/>
        <v>88.61999999999999</v>
      </c>
      <c r="J44" s="46">
        <f t="shared" si="0"/>
        <v>93.050999999999988</v>
      </c>
    </row>
    <row r="45" spans="1:10" ht="25.5">
      <c r="A45" s="7" t="s">
        <v>207</v>
      </c>
      <c r="B45" s="61"/>
      <c r="C45" s="6" t="s">
        <v>12</v>
      </c>
      <c r="D45" s="6" t="s">
        <v>33</v>
      </c>
      <c r="E45" s="6" t="s">
        <v>37</v>
      </c>
      <c r="F45" s="6" t="s">
        <v>168</v>
      </c>
      <c r="G45" s="46">
        <v>1157.7</v>
      </c>
      <c r="H45" s="46">
        <v>583.1</v>
      </c>
      <c r="I45" s="46">
        <f t="shared" si="1"/>
        <v>615.17049999999995</v>
      </c>
      <c r="J45" s="46">
        <f t="shared" si="0"/>
        <v>645.92902500000002</v>
      </c>
    </row>
    <row r="46" spans="1:10" ht="25.5">
      <c r="A46" s="7" t="s">
        <v>280</v>
      </c>
      <c r="B46" s="61"/>
      <c r="C46" s="6" t="s">
        <v>12</v>
      </c>
      <c r="D46" s="6" t="s">
        <v>33</v>
      </c>
      <c r="E46" s="6" t="s">
        <v>37</v>
      </c>
      <c r="F46" s="6" t="s">
        <v>189</v>
      </c>
      <c r="G46" s="46">
        <v>40.799999999999997</v>
      </c>
      <c r="H46" s="46">
        <v>41.7</v>
      </c>
      <c r="I46" s="46">
        <f t="shared" si="1"/>
        <v>43.993499999999997</v>
      </c>
      <c r="J46" s="46">
        <f t="shared" si="0"/>
        <v>46.193174999999997</v>
      </c>
    </row>
    <row r="47" spans="1:10" ht="16.5" customHeight="1">
      <c r="A47" s="7" t="s">
        <v>206</v>
      </c>
      <c r="B47" s="61"/>
      <c r="C47" s="6" t="s">
        <v>12</v>
      </c>
      <c r="D47" s="6" t="s">
        <v>33</v>
      </c>
      <c r="E47" s="6" t="s">
        <v>37</v>
      </c>
      <c r="F47" s="6" t="s">
        <v>192</v>
      </c>
      <c r="G47" s="46">
        <v>9.6</v>
      </c>
      <c r="H47" s="46">
        <v>10.5</v>
      </c>
      <c r="I47" s="46">
        <f t="shared" si="1"/>
        <v>11.077499999999999</v>
      </c>
      <c r="J47" s="46">
        <f t="shared" si="0"/>
        <v>11.631374999999998</v>
      </c>
    </row>
    <row r="48" spans="1:10" ht="21.75" customHeight="1">
      <c r="A48" s="61" t="s">
        <v>39</v>
      </c>
      <c r="B48" s="61"/>
      <c r="C48" s="6" t="s">
        <v>19</v>
      </c>
      <c r="D48" s="6"/>
      <c r="E48" s="6"/>
      <c r="F48" s="6"/>
      <c r="G48" s="46">
        <f>G49+G55+G63</f>
        <v>343882.49999999994</v>
      </c>
      <c r="H48" s="46">
        <f>H49+H55+H63</f>
        <v>180815.9</v>
      </c>
      <c r="I48" s="46">
        <f>I49+I55+I63</f>
        <v>155903.21300000002</v>
      </c>
      <c r="J48" s="46">
        <f>J49+J55+J63</f>
        <v>30825.938649999996</v>
      </c>
    </row>
    <row r="49" spans="1:10">
      <c r="A49" s="7" t="s">
        <v>141</v>
      </c>
      <c r="B49" s="61"/>
      <c r="C49" s="6" t="s">
        <v>19</v>
      </c>
      <c r="D49" s="6" t="s">
        <v>81</v>
      </c>
      <c r="E49" s="6"/>
      <c r="F49" s="6"/>
      <c r="G49" s="46">
        <f>G50+G52</f>
        <v>6069.3</v>
      </c>
      <c r="H49" s="46">
        <f t="shared" ref="H49:J50" si="2">H50</f>
        <v>5000</v>
      </c>
      <c r="I49" s="46">
        <f t="shared" si="2"/>
        <v>5000</v>
      </c>
      <c r="J49" s="46">
        <f t="shared" si="2"/>
        <v>0</v>
      </c>
    </row>
    <row r="50" spans="1:10" ht="51">
      <c r="A50" s="7" t="s">
        <v>271</v>
      </c>
      <c r="B50" s="61"/>
      <c r="C50" s="6" t="s">
        <v>19</v>
      </c>
      <c r="D50" s="6" t="s">
        <v>81</v>
      </c>
      <c r="E50" s="6" t="s">
        <v>270</v>
      </c>
      <c r="F50" s="6"/>
      <c r="G50" s="46">
        <f>G51</f>
        <v>5000</v>
      </c>
      <c r="H50" s="46">
        <f t="shared" si="2"/>
        <v>5000</v>
      </c>
      <c r="I50" s="46">
        <f t="shared" si="2"/>
        <v>5000</v>
      </c>
      <c r="J50" s="46">
        <f t="shared" si="2"/>
        <v>0</v>
      </c>
    </row>
    <row r="51" spans="1:10" ht="38.25">
      <c r="A51" s="7" t="s">
        <v>222</v>
      </c>
      <c r="B51" s="61"/>
      <c r="C51" s="6" t="s">
        <v>19</v>
      </c>
      <c r="D51" s="6" t="s">
        <v>81</v>
      </c>
      <c r="E51" s="6" t="s">
        <v>270</v>
      </c>
      <c r="F51" s="6" t="s">
        <v>172</v>
      </c>
      <c r="G51" s="46">
        <v>5000</v>
      </c>
      <c r="H51" s="46">
        <v>5000</v>
      </c>
      <c r="I51" s="46">
        <v>5000</v>
      </c>
      <c r="J51" s="46">
        <v>0</v>
      </c>
    </row>
    <row r="52" spans="1:10" ht="25.5" hidden="1">
      <c r="A52" s="7" t="s">
        <v>29</v>
      </c>
      <c r="B52" s="61"/>
      <c r="C52" s="6" t="s">
        <v>19</v>
      </c>
      <c r="D52" s="6" t="s">
        <v>81</v>
      </c>
      <c r="E52" s="6" t="s">
        <v>30</v>
      </c>
      <c r="F52" s="6"/>
      <c r="G52" s="46">
        <f>G53</f>
        <v>1069.3</v>
      </c>
      <c r="H52" s="46">
        <v>0</v>
      </c>
      <c r="I52" s="46">
        <f t="shared" si="1"/>
        <v>0</v>
      </c>
      <c r="J52" s="46">
        <f t="shared" si="0"/>
        <v>0</v>
      </c>
    </row>
    <row r="53" spans="1:10" ht="38.25" hidden="1">
      <c r="A53" s="7" t="s">
        <v>281</v>
      </c>
      <c r="B53" s="61"/>
      <c r="C53" s="6" t="s">
        <v>19</v>
      </c>
      <c r="D53" s="6" t="s">
        <v>81</v>
      </c>
      <c r="E53" s="6" t="s">
        <v>31</v>
      </c>
      <c r="F53" s="6"/>
      <c r="G53" s="46">
        <f>G54</f>
        <v>1069.3</v>
      </c>
      <c r="H53" s="46">
        <v>0</v>
      </c>
      <c r="I53" s="46">
        <f t="shared" si="1"/>
        <v>0</v>
      </c>
      <c r="J53" s="46">
        <f t="shared" si="0"/>
        <v>0</v>
      </c>
    </row>
    <row r="54" spans="1:10" ht="38.25" hidden="1">
      <c r="A54" s="7" t="s">
        <v>222</v>
      </c>
      <c r="B54" s="61"/>
      <c r="C54" s="6" t="s">
        <v>19</v>
      </c>
      <c r="D54" s="6" t="s">
        <v>81</v>
      </c>
      <c r="E54" s="6" t="s">
        <v>31</v>
      </c>
      <c r="F54" s="6" t="s">
        <v>172</v>
      </c>
      <c r="G54" s="46">
        <v>1069.3</v>
      </c>
      <c r="H54" s="46">
        <v>0</v>
      </c>
      <c r="I54" s="46">
        <f t="shared" si="1"/>
        <v>0</v>
      </c>
      <c r="J54" s="46">
        <f t="shared" si="0"/>
        <v>0</v>
      </c>
    </row>
    <row r="55" spans="1:10" ht="15.75" customHeight="1">
      <c r="A55" s="7" t="s">
        <v>155</v>
      </c>
      <c r="B55" s="61"/>
      <c r="C55" s="6" t="s">
        <v>19</v>
      </c>
      <c r="D55" s="6" t="s">
        <v>33</v>
      </c>
      <c r="E55" s="6"/>
      <c r="F55" s="6"/>
      <c r="G55" s="46">
        <f>G56+G60</f>
        <v>335213.19999999995</v>
      </c>
      <c r="H55" s="46">
        <f>H56+H60</f>
        <v>172815.9</v>
      </c>
      <c r="I55" s="46">
        <f>I56+I60</f>
        <v>147403.21300000002</v>
      </c>
      <c r="J55" s="46">
        <f>J56+J60</f>
        <v>26825.938649999996</v>
      </c>
    </row>
    <row r="56" spans="1:10" ht="18" customHeight="1">
      <c r="A56" s="7" t="s">
        <v>302</v>
      </c>
      <c r="B56" s="61"/>
      <c r="C56" s="6" t="s">
        <v>19</v>
      </c>
      <c r="D56" s="6" t="s">
        <v>33</v>
      </c>
      <c r="E56" s="6" t="s">
        <v>300</v>
      </c>
      <c r="F56" s="6"/>
      <c r="G56" s="46">
        <f>G57</f>
        <v>117388.4</v>
      </c>
      <c r="H56" s="46">
        <f>H57</f>
        <v>24216.6</v>
      </c>
      <c r="I56" s="46">
        <f>I57</f>
        <v>25548.512999999995</v>
      </c>
      <c r="J56" s="46">
        <f t="shared" si="0"/>
        <v>26825.938649999996</v>
      </c>
    </row>
    <row r="57" spans="1:10" ht="38.25">
      <c r="A57" s="7" t="s">
        <v>303</v>
      </c>
      <c r="B57" s="61"/>
      <c r="C57" s="6" t="s">
        <v>19</v>
      </c>
      <c r="D57" s="6" t="s">
        <v>33</v>
      </c>
      <c r="E57" s="6" t="s">
        <v>301</v>
      </c>
      <c r="F57" s="6"/>
      <c r="G57" s="46">
        <f>G58+G59</f>
        <v>117388.4</v>
      </c>
      <c r="H57" s="46">
        <f>H58+H59</f>
        <v>24216.6</v>
      </c>
      <c r="I57" s="46">
        <f t="shared" si="1"/>
        <v>25548.512999999995</v>
      </c>
      <c r="J57" s="46">
        <f t="shared" si="0"/>
        <v>26825.938649999996</v>
      </c>
    </row>
    <row r="58" spans="1:10" ht="38.25">
      <c r="A58" s="7" t="s">
        <v>223</v>
      </c>
      <c r="B58" s="61"/>
      <c r="C58" s="6" t="s">
        <v>19</v>
      </c>
      <c r="D58" s="6" t="s">
        <v>33</v>
      </c>
      <c r="E58" s="6" t="s">
        <v>301</v>
      </c>
      <c r="F58" s="6" t="s">
        <v>175</v>
      </c>
      <c r="G58" s="46">
        <v>96967.7</v>
      </c>
      <c r="H58" s="46">
        <v>5440.5</v>
      </c>
      <c r="I58" s="46">
        <f t="shared" si="1"/>
        <v>5739.7275</v>
      </c>
      <c r="J58" s="46">
        <f t="shared" si="0"/>
        <v>6026.7138750000004</v>
      </c>
    </row>
    <row r="59" spans="1:10" ht="25.5">
      <c r="A59" s="7" t="s">
        <v>207</v>
      </c>
      <c r="B59" s="61"/>
      <c r="C59" s="6" t="s">
        <v>19</v>
      </c>
      <c r="D59" s="6" t="s">
        <v>33</v>
      </c>
      <c r="E59" s="6" t="s">
        <v>301</v>
      </c>
      <c r="F59" s="6" t="s">
        <v>168</v>
      </c>
      <c r="G59" s="46">
        <v>20420.7</v>
      </c>
      <c r="H59" s="46">
        <v>18776.099999999999</v>
      </c>
      <c r="I59" s="46">
        <f t="shared" si="1"/>
        <v>19808.785499999998</v>
      </c>
      <c r="J59" s="46">
        <f t="shared" si="0"/>
        <v>20799.224774999999</v>
      </c>
    </row>
    <row r="60" spans="1:10" ht="25.5">
      <c r="A60" s="7" t="s">
        <v>29</v>
      </c>
      <c r="B60" s="61"/>
      <c r="C60" s="6" t="s">
        <v>19</v>
      </c>
      <c r="D60" s="6" t="s">
        <v>33</v>
      </c>
      <c r="E60" s="6" t="s">
        <v>30</v>
      </c>
      <c r="F60" s="6"/>
      <c r="G60" s="46">
        <f t="shared" ref="G60:J61" si="3">G61</f>
        <v>217824.8</v>
      </c>
      <c r="H60" s="46">
        <f t="shared" si="3"/>
        <v>148599.29999999999</v>
      </c>
      <c r="I60" s="46">
        <f t="shared" si="3"/>
        <v>121854.70000000001</v>
      </c>
      <c r="J60" s="46">
        <f t="shared" si="3"/>
        <v>0</v>
      </c>
    </row>
    <row r="61" spans="1:10" ht="51">
      <c r="A61" s="7" t="s">
        <v>295</v>
      </c>
      <c r="B61" s="61"/>
      <c r="C61" s="6" t="s">
        <v>19</v>
      </c>
      <c r="D61" s="6" t="s">
        <v>33</v>
      </c>
      <c r="E61" s="6" t="s">
        <v>31</v>
      </c>
      <c r="F61" s="6"/>
      <c r="G61" s="46">
        <f t="shared" si="3"/>
        <v>217824.8</v>
      </c>
      <c r="H61" s="46">
        <f t="shared" si="3"/>
        <v>148599.29999999999</v>
      </c>
      <c r="I61" s="46">
        <f t="shared" si="3"/>
        <v>121854.70000000001</v>
      </c>
      <c r="J61" s="46">
        <f t="shared" si="3"/>
        <v>0</v>
      </c>
    </row>
    <row r="62" spans="1:10" ht="38.25">
      <c r="A62" s="7" t="s">
        <v>223</v>
      </c>
      <c r="B62" s="61"/>
      <c r="C62" s="6" t="s">
        <v>19</v>
      </c>
      <c r="D62" s="6" t="s">
        <v>33</v>
      </c>
      <c r="E62" s="6" t="s">
        <v>31</v>
      </c>
      <c r="F62" s="6" t="s">
        <v>175</v>
      </c>
      <c r="G62" s="46">
        <v>217824.8</v>
      </c>
      <c r="H62" s="46">
        <v>148599.29999999999</v>
      </c>
      <c r="I62" s="46">
        <f>212448.2-90593.5</f>
        <v>121854.70000000001</v>
      </c>
      <c r="J62" s="46">
        <v>0</v>
      </c>
    </row>
    <row r="63" spans="1:10" ht="25.5">
      <c r="A63" s="7" t="s">
        <v>40</v>
      </c>
      <c r="B63" s="61"/>
      <c r="C63" s="6" t="s">
        <v>19</v>
      </c>
      <c r="D63" s="6" t="s">
        <v>24</v>
      </c>
      <c r="E63" s="6"/>
      <c r="F63" s="6"/>
      <c r="G63" s="46">
        <f t="shared" ref="G63:H65" si="4">G64</f>
        <v>2600</v>
      </c>
      <c r="H63" s="46">
        <f t="shared" si="4"/>
        <v>3000</v>
      </c>
      <c r="I63" s="46">
        <f t="shared" ref="I63:J65" si="5">I64</f>
        <v>3500</v>
      </c>
      <c r="J63" s="46">
        <f t="shared" si="5"/>
        <v>4000</v>
      </c>
    </row>
    <row r="64" spans="1:10" ht="25.5">
      <c r="A64" s="7" t="s">
        <v>42</v>
      </c>
      <c r="B64" s="61"/>
      <c r="C64" s="6" t="s">
        <v>19</v>
      </c>
      <c r="D64" s="6" t="s">
        <v>24</v>
      </c>
      <c r="E64" s="6" t="s">
        <v>41</v>
      </c>
      <c r="F64" s="6"/>
      <c r="G64" s="46">
        <f t="shared" si="4"/>
        <v>2600</v>
      </c>
      <c r="H64" s="46">
        <f t="shared" si="4"/>
        <v>3000</v>
      </c>
      <c r="I64" s="46">
        <f t="shared" si="5"/>
        <v>3500</v>
      </c>
      <c r="J64" s="46">
        <f t="shared" si="5"/>
        <v>4000</v>
      </c>
    </row>
    <row r="65" spans="1:10" ht="38.25">
      <c r="A65" s="7" t="s">
        <v>193</v>
      </c>
      <c r="B65" s="61"/>
      <c r="C65" s="6" t="s">
        <v>19</v>
      </c>
      <c r="D65" s="6" t="s">
        <v>24</v>
      </c>
      <c r="E65" s="6" t="s">
        <v>131</v>
      </c>
      <c r="F65" s="6"/>
      <c r="G65" s="46">
        <f t="shared" si="4"/>
        <v>2600</v>
      </c>
      <c r="H65" s="46">
        <f t="shared" si="4"/>
        <v>3000</v>
      </c>
      <c r="I65" s="46">
        <f t="shared" si="5"/>
        <v>3500</v>
      </c>
      <c r="J65" s="46">
        <f t="shared" si="5"/>
        <v>4000</v>
      </c>
    </row>
    <row r="66" spans="1:10" ht="38.25">
      <c r="A66" s="7" t="s">
        <v>222</v>
      </c>
      <c r="B66" s="61"/>
      <c r="C66" s="6" t="s">
        <v>19</v>
      </c>
      <c r="D66" s="6" t="s">
        <v>24</v>
      </c>
      <c r="E66" s="6" t="s">
        <v>131</v>
      </c>
      <c r="F66" s="6" t="s">
        <v>172</v>
      </c>
      <c r="G66" s="46">
        <v>2600</v>
      </c>
      <c r="H66" s="46">
        <v>3000</v>
      </c>
      <c r="I66" s="46">
        <v>3500</v>
      </c>
      <c r="J66" s="46">
        <v>4000</v>
      </c>
    </row>
    <row r="67" spans="1:10" ht="18.75" customHeight="1">
      <c r="A67" s="7" t="s">
        <v>43</v>
      </c>
      <c r="B67" s="61"/>
      <c r="C67" s="6" t="s">
        <v>44</v>
      </c>
      <c r="D67" s="6"/>
      <c r="E67" s="6"/>
      <c r="F67" s="6"/>
      <c r="G67" s="46">
        <f>G68+G83+G96+G76</f>
        <v>379031.39999999997</v>
      </c>
      <c r="H67" s="46">
        <f>H68+H83+H96+H81</f>
        <v>426544.10000000003</v>
      </c>
      <c r="I67" s="46">
        <f>I68+I83+I96+I81</f>
        <v>495408.22199999995</v>
      </c>
      <c r="J67" s="46">
        <f>J68+J83+J96+J81</f>
        <v>480033.63310000004</v>
      </c>
    </row>
    <row r="68" spans="1:10" ht="16.5" customHeight="1">
      <c r="A68" s="7" t="s">
        <v>45</v>
      </c>
      <c r="B68" s="61"/>
      <c r="C68" s="6" t="s">
        <v>44</v>
      </c>
      <c r="D68" s="6" t="s">
        <v>10</v>
      </c>
      <c r="E68" s="6"/>
      <c r="F68" s="6"/>
      <c r="G68" s="46">
        <f>G69+G72+G74</f>
        <v>69525.5</v>
      </c>
      <c r="H68" s="46">
        <f>H69+H74</f>
        <v>45616.3</v>
      </c>
      <c r="I68" s="46">
        <f>I69+I74+I72</f>
        <v>93100.892999999982</v>
      </c>
      <c r="J68" s="46">
        <f>J69+J74+J72</f>
        <v>55755.93765</v>
      </c>
    </row>
    <row r="69" spans="1:10" ht="51">
      <c r="A69" s="7" t="s">
        <v>113</v>
      </c>
      <c r="B69" s="61"/>
      <c r="C69" s="6" t="s">
        <v>44</v>
      </c>
      <c r="D69" s="6" t="s">
        <v>10</v>
      </c>
      <c r="E69" s="6" t="s">
        <v>47</v>
      </c>
      <c r="F69" s="6"/>
      <c r="G69" s="46">
        <f>G70</f>
        <v>46108.2</v>
      </c>
      <c r="H69" s="46">
        <f>H70+H72</f>
        <v>35616.300000000003</v>
      </c>
      <c r="I69" s="46">
        <f>I70+I72</f>
        <v>37575.196499999998</v>
      </c>
      <c r="J69" s="46">
        <f>J70+J72</f>
        <v>39453.956324999999</v>
      </c>
    </row>
    <row r="70" spans="1:10" ht="38.25">
      <c r="A70" s="7" t="s">
        <v>374</v>
      </c>
      <c r="B70" s="61"/>
      <c r="C70" s="6" t="s">
        <v>44</v>
      </c>
      <c r="D70" s="6" t="s">
        <v>10</v>
      </c>
      <c r="E70" s="6" t="s">
        <v>48</v>
      </c>
      <c r="F70" s="6"/>
      <c r="G70" s="46">
        <f>G71</f>
        <v>46108.2</v>
      </c>
      <c r="H70" s="46">
        <f>H71</f>
        <v>20900</v>
      </c>
      <c r="I70" s="46">
        <f t="shared" si="1"/>
        <v>22049.5</v>
      </c>
      <c r="J70" s="46">
        <f t="shared" si="0"/>
        <v>23151.975000000002</v>
      </c>
    </row>
    <row r="71" spans="1:10" ht="38.25">
      <c r="A71" s="7" t="s">
        <v>223</v>
      </c>
      <c r="B71" s="61"/>
      <c r="C71" s="6" t="s">
        <v>44</v>
      </c>
      <c r="D71" s="6" t="s">
        <v>10</v>
      </c>
      <c r="E71" s="6" t="s">
        <v>48</v>
      </c>
      <c r="F71" s="6" t="s">
        <v>175</v>
      </c>
      <c r="G71" s="46">
        <v>46108.2</v>
      </c>
      <c r="H71" s="46">
        <v>20900</v>
      </c>
      <c r="I71" s="46">
        <f t="shared" si="1"/>
        <v>22049.5</v>
      </c>
      <c r="J71" s="46">
        <f t="shared" si="0"/>
        <v>23151.975000000002</v>
      </c>
    </row>
    <row r="72" spans="1:10" ht="21.75" customHeight="1">
      <c r="A72" s="7" t="s">
        <v>165</v>
      </c>
      <c r="B72" s="61"/>
      <c r="C72" s="6" t="s">
        <v>44</v>
      </c>
      <c r="D72" s="6" t="s">
        <v>10</v>
      </c>
      <c r="E72" s="6" t="s">
        <v>164</v>
      </c>
      <c r="F72" s="6"/>
      <c r="G72" s="46">
        <f>G73</f>
        <v>13563.5</v>
      </c>
      <c r="H72" s="46">
        <f>H73</f>
        <v>14716.3</v>
      </c>
      <c r="I72" s="46">
        <f t="shared" si="1"/>
        <v>15525.696499999998</v>
      </c>
      <c r="J72" s="46">
        <f t="shared" si="0"/>
        <v>16301.981324999999</v>
      </c>
    </row>
    <row r="73" spans="1:10" ht="38.25">
      <c r="A73" s="7" t="s">
        <v>222</v>
      </c>
      <c r="B73" s="61"/>
      <c r="C73" s="6" t="s">
        <v>44</v>
      </c>
      <c r="D73" s="6" t="s">
        <v>10</v>
      </c>
      <c r="E73" s="6" t="s">
        <v>164</v>
      </c>
      <c r="F73" s="6" t="s">
        <v>172</v>
      </c>
      <c r="G73" s="46">
        <v>13563.5</v>
      </c>
      <c r="H73" s="46">
        <v>14716.3</v>
      </c>
      <c r="I73" s="46">
        <f t="shared" si="1"/>
        <v>15525.696499999998</v>
      </c>
      <c r="J73" s="46">
        <f t="shared" si="0"/>
        <v>16301.981324999999</v>
      </c>
    </row>
    <row r="74" spans="1:10" ht="51">
      <c r="A74" s="70" t="s">
        <v>269</v>
      </c>
      <c r="B74" s="61"/>
      <c r="C74" s="6" t="s">
        <v>44</v>
      </c>
      <c r="D74" s="6" t="s">
        <v>10</v>
      </c>
      <c r="E74" s="6" t="s">
        <v>31</v>
      </c>
      <c r="F74" s="6"/>
      <c r="G74" s="46">
        <f>G75</f>
        <v>9853.7999999999993</v>
      </c>
      <c r="H74" s="46">
        <f>H75</f>
        <v>10000</v>
      </c>
      <c r="I74" s="46">
        <v>40000</v>
      </c>
      <c r="J74" s="46"/>
    </row>
    <row r="75" spans="1:10" ht="27.75" customHeight="1">
      <c r="A75" s="7" t="s">
        <v>207</v>
      </c>
      <c r="B75" s="61"/>
      <c r="C75" s="6" t="s">
        <v>44</v>
      </c>
      <c r="D75" s="6" t="s">
        <v>10</v>
      </c>
      <c r="E75" s="6" t="s">
        <v>31</v>
      </c>
      <c r="F75" s="6" t="s">
        <v>168</v>
      </c>
      <c r="G75" s="46">
        <v>9853.7999999999993</v>
      </c>
      <c r="H75" s="46">
        <v>10000</v>
      </c>
      <c r="I75" s="46">
        <v>40000</v>
      </c>
      <c r="J75" s="46"/>
    </row>
    <row r="76" spans="1:10" ht="18.75" customHeight="1">
      <c r="A76" s="7" t="s">
        <v>293</v>
      </c>
      <c r="B76" s="61"/>
      <c r="C76" s="6" t="s">
        <v>44</v>
      </c>
      <c r="D76" s="6" t="s">
        <v>50</v>
      </c>
      <c r="E76" s="6"/>
      <c r="F76" s="6"/>
      <c r="G76" s="46">
        <f>G79</f>
        <v>1695</v>
      </c>
      <c r="H76" s="46"/>
      <c r="I76" s="46">
        <f>I79+I81</f>
        <v>22900</v>
      </c>
      <c r="J76" s="46">
        <f>J79+J81</f>
        <v>25900</v>
      </c>
    </row>
    <row r="77" spans="1:10" ht="38.25" hidden="1">
      <c r="A77" s="70" t="s">
        <v>265</v>
      </c>
      <c r="B77" s="61"/>
      <c r="C77" s="6" t="s">
        <v>44</v>
      </c>
      <c r="D77" s="6" t="s">
        <v>50</v>
      </c>
      <c r="E77" s="6" t="s">
        <v>294</v>
      </c>
      <c r="F77" s="6"/>
      <c r="G77" s="46"/>
      <c r="H77" s="46"/>
      <c r="I77" s="46">
        <f t="shared" si="1"/>
        <v>0</v>
      </c>
      <c r="J77" s="46">
        <f t="shared" si="0"/>
        <v>0</v>
      </c>
    </row>
    <row r="78" spans="1:10" ht="25.5" hidden="1">
      <c r="A78" s="7" t="s">
        <v>207</v>
      </c>
      <c r="B78" s="61"/>
      <c r="C78" s="6" t="s">
        <v>44</v>
      </c>
      <c r="D78" s="6" t="s">
        <v>50</v>
      </c>
      <c r="E78" s="6" t="s">
        <v>294</v>
      </c>
      <c r="F78" s="6" t="s">
        <v>168</v>
      </c>
      <c r="G78" s="46"/>
      <c r="H78" s="46"/>
      <c r="I78" s="46">
        <f t="shared" si="1"/>
        <v>0</v>
      </c>
      <c r="J78" s="46">
        <f t="shared" si="0"/>
        <v>0</v>
      </c>
    </row>
    <row r="79" spans="1:10" ht="18" customHeight="1">
      <c r="A79" s="7" t="s">
        <v>359</v>
      </c>
      <c r="B79" s="61"/>
      <c r="C79" s="6" t="s">
        <v>44</v>
      </c>
      <c r="D79" s="6" t="s">
        <v>50</v>
      </c>
      <c r="E79" s="6" t="s">
        <v>358</v>
      </c>
      <c r="F79" s="6"/>
      <c r="G79" s="46">
        <f>G80</f>
        <v>1695</v>
      </c>
      <c r="H79" s="46"/>
      <c r="I79" s="46"/>
      <c r="J79" s="46"/>
    </row>
    <row r="80" spans="1:10" ht="33" customHeight="1">
      <c r="A80" s="7" t="s">
        <v>207</v>
      </c>
      <c r="B80" s="61"/>
      <c r="C80" s="6" t="s">
        <v>44</v>
      </c>
      <c r="D80" s="6" t="s">
        <v>50</v>
      </c>
      <c r="E80" s="6" t="s">
        <v>358</v>
      </c>
      <c r="F80" s="6" t="s">
        <v>168</v>
      </c>
      <c r="G80" s="46">
        <v>1695</v>
      </c>
      <c r="H80" s="46"/>
      <c r="I80" s="46"/>
      <c r="J80" s="46"/>
    </row>
    <row r="81" spans="1:10" ht="41.25" customHeight="1">
      <c r="A81" s="7" t="s">
        <v>197</v>
      </c>
      <c r="B81" s="61"/>
      <c r="C81" s="6" t="s">
        <v>44</v>
      </c>
      <c r="D81" s="6" t="s">
        <v>50</v>
      </c>
      <c r="E81" s="6" t="s">
        <v>31</v>
      </c>
      <c r="F81" s="6"/>
      <c r="G81" s="46">
        <v>0</v>
      </c>
      <c r="H81" s="46">
        <f>H82</f>
        <v>21300</v>
      </c>
      <c r="I81" s="46">
        <v>22900</v>
      </c>
      <c r="J81" s="46">
        <v>25900</v>
      </c>
    </row>
    <row r="82" spans="1:10" ht="27.75" customHeight="1">
      <c r="A82" s="7" t="s">
        <v>207</v>
      </c>
      <c r="B82" s="61"/>
      <c r="C82" s="6" t="s">
        <v>44</v>
      </c>
      <c r="D82" s="6" t="s">
        <v>50</v>
      </c>
      <c r="E82" s="6" t="s">
        <v>31</v>
      </c>
      <c r="F82" s="6" t="s">
        <v>175</v>
      </c>
      <c r="G82" s="46">
        <v>0</v>
      </c>
      <c r="H82" s="46">
        <v>21300</v>
      </c>
      <c r="I82" s="46">
        <v>22900</v>
      </c>
      <c r="J82" s="46">
        <v>25900</v>
      </c>
    </row>
    <row r="83" spans="1:10" ht="18.75" customHeight="1">
      <c r="A83" s="7" t="s">
        <v>51</v>
      </c>
      <c r="B83" s="61"/>
      <c r="C83" s="6" t="s">
        <v>44</v>
      </c>
      <c r="D83" s="6" t="s">
        <v>12</v>
      </c>
      <c r="E83" s="6"/>
      <c r="F83" s="6"/>
      <c r="G83" s="46">
        <f>G84</f>
        <v>279626.09999999998</v>
      </c>
      <c r="H83" s="46">
        <f>H84</f>
        <v>330697.80000000005</v>
      </c>
      <c r="I83" s="46">
        <f t="shared" ref="I83:I146" si="6">H83*105.5%</f>
        <v>348886.179</v>
      </c>
      <c r="J83" s="46">
        <f>J84</f>
        <v>366330.48795000004</v>
      </c>
    </row>
    <row r="84" spans="1:10" ht="16.5" customHeight="1">
      <c r="A84" s="7" t="s">
        <v>51</v>
      </c>
      <c r="B84" s="61"/>
      <c r="C84" s="6" t="s">
        <v>44</v>
      </c>
      <c r="D84" s="6" t="s">
        <v>12</v>
      </c>
      <c r="E84" s="6" t="s">
        <v>52</v>
      </c>
      <c r="F84" s="6"/>
      <c r="G84" s="46">
        <f>G85+G88+G90+G92</f>
        <v>279626.09999999998</v>
      </c>
      <c r="H84" s="46">
        <f>H85+H88+H90+H92</f>
        <v>330697.80000000005</v>
      </c>
      <c r="I84" s="46">
        <f t="shared" si="6"/>
        <v>348886.179</v>
      </c>
      <c r="J84" s="46">
        <f>I84*105%</f>
        <v>366330.48795000004</v>
      </c>
    </row>
    <row r="85" spans="1:10" ht="15.75" customHeight="1">
      <c r="A85" s="7" t="s">
        <v>53</v>
      </c>
      <c r="B85" s="61"/>
      <c r="C85" s="6" t="s">
        <v>44</v>
      </c>
      <c r="D85" s="6" t="s">
        <v>12</v>
      </c>
      <c r="E85" s="6" t="s">
        <v>54</v>
      </c>
      <c r="F85" s="6"/>
      <c r="G85" s="46">
        <f>G86+G87</f>
        <v>60718.7</v>
      </c>
      <c r="H85" s="46">
        <f>SUM(H86:H87)</f>
        <v>67815.100000000006</v>
      </c>
      <c r="I85" s="46">
        <f t="shared" si="6"/>
        <v>71544.930500000002</v>
      </c>
      <c r="J85" s="46">
        <f t="shared" ref="J85:J146" si="7">I85*105%</f>
        <v>75122.177025000012</v>
      </c>
    </row>
    <row r="86" spans="1:10" ht="38.25">
      <c r="A86" s="7" t="s">
        <v>223</v>
      </c>
      <c r="B86" s="61"/>
      <c r="C86" s="6" t="s">
        <v>44</v>
      </c>
      <c r="D86" s="6" t="s">
        <v>12</v>
      </c>
      <c r="E86" s="6" t="s">
        <v>54</v>
      </c>
      <c r="F86" s="6" t="s">
        <v>175</v>
      </c>
      <c r="G86" s="46">
        <v>0</v>
      </c>
      <c r="H86" s="46">
        <v>16502.099999999999</v>
      </c>
      <c r="I86" s="46">
        <f t="shared" si="6"/>
        <v>17409.715499999998</v>
      </c>
      <c r="J86" s="46">
        <f t="shared" si="7"/>
        <v>18280.201274999999</v>
      </c>
    </row>
    <row r="87" spans="1:10" ht="25.5">
      <c r="A87" s="7" t="s">
        <v>207</v>
      </c>
      <c r="B87" s="61"/>
      <c r="C87" s="6" t="s">
        <v>44</v>
      </c>
      <c r="D87" s="6" t="s">
        <v>12</v>
      </c>
      <c r="E87" s="6" t="s">
        <v>54</v>
      </c>
      <c r="F87" s="6" t="s">
        <v>168</v>
      </c>
      <c r="G87" s="46">
        <v>60718.7</v>
      </c>
      <c r="H87" s="46">
        <v>51313</v>
      </c>
      <c r="I87" s="46">
        <f t="shared" si="6"/>
        <v>54135.214999999997</v>
      </c>
      <c r="J87" s="46">
        <f t="shared" si="7"/>
        <v>56841.975749999998</v>
      </c>
    </row>
    <row r="88" spans="1:10">
      <c r="A88" s="7" t="s">
        <v>56</v>
      </c>
      <c r="B88" s="61"/>
      <c r="C88" s="6" t="s">
        <v>44</v>
      </c>
      <c r="D88" s="6" t="s">
        <v>12</v>
      </c>
      <c r="E88" s="6" t="s">
        <v>57</v>
      </c>
      <c r="F88" s="6"/>
      <c r="G88" s="46">
        <f>G89</f>
        <v>53153</v>
      </c>
      <c r="H88" s="46">
        <f>H89</f>
        <v>53000</v>
      </c>
      <c r="I88" s="46">
        <f t="shared" si="6"/>
        <v>55915</v>
      </c>
      <c r="J88" s="46">
        <f t="shared" si="7"/>
        <v>58710.75</v>
      </c>
    </row>
    <row r="89" spans="1:10" ht="25.5">
      <c r="A89" s="7" t="s">
        <v>207</v>
      </c>
      <c r="B89" s="61"/>
      <c r="C89" s="6" t="s">
        <v>44</v>
      </c>
      <c r="D89" s="6" t="s">
        <v>12</v>
      </c>
      <c r="E89" s="6" t="s">
        <v>57</v>
      </c>
      <c r="F89" s="6" t="s">
        <v>168</v>
      </c>
      <c r="G89" s="46">
        <v>53153</v>
      </c>
      <c r="H89" s="46">
        <v>53000</v>
      </c>
      <c r="I89" s="46">
        <f t="shared" si="6"/>
        <v>55915</v>
      </c>
      <c r="J89" s="46">
        <f t="shared" si="7"/>
        <v>58710.75</v>
      </c>
    </row>
    <row r="90" spans="1:10">
      <c r="A90" s="7" t="s">
        <v>58</v>
      </c>
      <c r="B90" s="61"/>
      <c r="C90" s="6" t="s">
        <v>44</v>
      </c>
      <c r="D90" s="6" t="s">
        <v>12</v>
      </c>
      <c r="E90" s="6" t="s">
        <v>59</v>
      </c>
      <c r="F90" s="6"/>
      <c r="G90" s="46">
        <f>G91</f>
        <v>5593.5</v>
      </c>
      <c r="H90" s="46">
        <f>H91</f>
        <v>7440.6</v>
      </c>
      <c r="I90" s="46">
        <f t="shared" si="6"/>
        <v>7849.8329999999996</v>
      </c>
      <c r="J90" s="46">
        <f t="shared" si="7"/>
        <v>8242.3246500000005</v>
      </c>
    </row>
    <row r="91" spans="1:10" ht="25.5">
      <c r="A91" s="7" t="s">
        <v>207</v>
      </c>
      <c r="B91" s="61"/>
      <c r="C91" s="6" t="s">
        <v>44</v>
      </c>
      <c r="D91" s="6" t="s">
        <v>12</v>
      </c>
      <c r="E91" s="6" t="s">
        <v>59</v>
      </c>
      <c r="F91" s="6" t="s">
        <v>168</v>
      </c>
      <c r="G91" s="46">
        <v>5593.5</v>
      </c>
      <c r="H91" s="46">
        <v>7440.6</v>
      </c>
      <c r="I91" s="46">
        <f t="shared" si="6"/>
        <v>7849.8329999999996</v>
      </c>
      <c r="J91" s="46">
        <f t="shared" si="7"/>
        <v>8242.3246500000005</v>
      </c>
    </row>
    <row r="92" spans="1:10" ht="25.5">
      <c r="A92" s="7" t="s">
        <v>60</v>
      </c>
      <c r="B92" s="61"/>
      <c r="C92" s="6" t="s">
        <v>44</v>
      </c>
      <c r="D92" s="6" t="s">
        <v>12</v>
      </c>
      <c r="E92" s="6" t="s">
        <v>61</v>
      </c>
      <c r="F92" s="6"/>
      <c r="G92" s="46">
        <f>G93+G94+G95</f>
        <v>160160.9</v>
      </c>
      <c r="H92" s="46">
        <f>SUM(H93:H95)</f>
        <v>202442.1</v>
      </c>
      <c r="I92" s="46">
        <f t="shared" si="6"/>
        <v>213576.4155</v>
      </c>
      <c r="J92" s="46">
        <f t="shared" si="7"/>
        <v>224255.236275</v>
      </c>
    </row>
    <row r="93" spans="1:10" ht="38.25">
      <c r="A93" s="7" t="s">
        <v>223</v>
      </c>
      <c r="B93" s="61"/>
      <c r="C93" s="6" t="s">
        <v>44</v>
      </c>
      <c r="D93" s="6" t="s">
        <v>12</v>
      </c>
      <c r="E93" s="6" t="s">
        <v>61</v>
      </c>
      <c r="F93" s="6" t="s">
        <v>175</v>
      </c>
      <c r="G93" s="46">
        <v>6663.4</v>
      </c>
      <c r="H93" s="46">
        <v>36080.800000000003</v>
      </c>
      <c r="I93" s="46">
        <f t="shared" si="6"/>
        <v>38065.243999999999</v>
      </c>
      <c r="J93" s="46">
        <f t="shared" si="7"/>
        <v>39968.506200000003</v>
      </c>
    </row>
    <row r="94" spans="1:10" ht="25.5">
      <c r="A94" s="7" t="s">
        <v>207</v>
      </c>
      <c r="B94" s="61"/>
      <c r="C94" s="6" t="s">
        <v>44</v>
      </c>
      <c r="D94" s="6" t="s">
        <v>12</v>
      </c>
      <c r="E94" s="6" t="s">
        <v>61</v>
      </c>
      <c r="F94" s="6" t="s">
        <v>168</v>
      </c>
      <c r="G94" s="46">
        <v>138838</v>
      </c>
      <c r="H94" s="46">
        <v>122861.3</v>
      </c>
      <c r="I94" s="46">
        <f t="shared" si="6"/>
        <v>129618.6715</v>
      </c>
      <c r="J94" s="46">
        <f>136099.6+62816.1</f>
        <v>198915.7</v>
      </c>
    </row>
    <row r="95" spans="1:10" ht="51">
      <c r="A95" s="7" t="s">
        <v>325</v>
      </c>
      <c r="B95" s="61"/>
      <c r="C95" s="6" t="s">
        <v>44</v>
      </c>
      <c r="D95" s="6" t="s">
        <v>12</v>
      </c>
      <c r="E95" s="6" t="s">
        <v>61</v>
      </c>
      <c r="F95" s="6" t="s">
        <v>326</v>
      </c>
      <c r="G95" s="46">
        <v>14659.5</v>
      </c>
      <c r="H95" s="46">
        <v>43500</v>
      </c>
      <c r="I95" s="46">
        <f t="shared" si="6"/>
        <v>45892.5</v>
      </c>
      <c r="J95" s="46">
        <f t="shared" si="7"/>
        <v>48187.125</v>
      </c>
    </row>
    <row r="96" spans="1:10" ht="25.5">
      <c r="A96" s="7" t="s">
        <v>62</v>
      </c>
      <c r="B96" s="61"/>
      <c r="C96" s="6" t="s">
        <v>44</v>
      </c>
      <c r="D96" s="6" t="s">
        <v>44</v>
      </c>
      <c r="E96" s="6"/>
      <c r="F96" s="6"/>
      <c r="G96" s="46">
        <f>G97</f>
        <v>28184.799999999999</v>
      </c>
      <c r="H96" s="46">
        <f>H97</f>
        <v>28929.999999999996</v>
      </c>
      <c r="I96" s="46">
        <f t="shared" si="6"/>
        <v>30521.149999999994</v>
      </c>
      <c r="J96" s="46">
        <f t="shared" si="7"/>
        <v>32047.207499999997</v>
      </c>
    </row>
    <row r="97" spans="1:10" ht="51">
      <c r="A97" s="7" t="s">
        <v>109</v>
      </c>
      <c r="B97" s="61"/>
      <c r="C97" s="6" t="s">
        <v>44</v>
      </c>
      <c r="D97" s="6" t="s">
        <v>44</v>
      </c>
      <c r="E97" s="6" t="s">
        <v>14</v>
      </c>
      <c r="F97" s="6"/>
      <c r="G97" s="46">
        <f>G98</f>
        <v>28184.799999999999</v>
      </c>
      <c r="H97" s="46">
        <f>H98</f>
        <v>28929.999999999996</v>
      </c>
      <c r="I97" s="46">
        <f t="shared" si="6"/>
        <v>30521.149999999994</v>
      </c>
      <c r="J97" s="46">
        <f t="shared" si="7"/>
        <v>32047.207499999997</v>
      </c>
    </row>
    <row r="98" spans="1:10" ht="25.5">
      <c r="A98" s="7" t="s">
        <v>36</v>
      </c>
      <c r="B98" s="61"/>
      <c r="C98" s="6" t="s">
        <v>44</v>
      </c>
      <c r="D98" s="6" t="s">
        <v>44</v>
      </c>
      <c r="E98" s="6" t="s">
        <v>297</v>
      </c>
      <c r="F98" s="6"/>
      <c r="G98" s="46">
        <f>SUM(G99:G104)</f>
        <v>28184.799999999999</v>
      </c>
      <c r="H98" s="46">
        <f>SUM(H99:H103)</f>
        <v>28929.999999999996</v>
      </c>
      <c r="I98" s="46">
        <f t="shared" si="6"/>
        <v>30521.149999999994</v>
      </c>
      <c r="J98" s="46">
        <f t="shared" si="7"/>
        <v>32047.207499999997</v>
      </c>
    </row>
    <row r="99" spans="1:10" ht="17.25" customHeight="1">
      <c r="A99" s="7" t="s">
        <v>209</v>
      </c>
      <c r="B99" s="61"/>
      <c r="C99" s="6" t="s">
        <v>44</v>
      </c>
      <c r="D99" s="6" t="s">
        <v>44</v>
      </c>
      <c r="E99" s="6" t="s">
        <v>297</v>
      </c>
      <c r="F99" s="6" t="s">
        <v>171</v>
      </c>
      <c r="G99" s="46">
        <v>21606.3</v>
      </c>
      <c r="H99" s="46">
        <v>23196.1</v>
      </c>
      <c r="I99" s="46">
        <f t="shared" si="6"/>
        <v>24471.885499999997</v>
      </c>
      <c r="J99" s="46">
        <f t="shared" si="7"/>
        <v>25695.479774999996</v>
      </c>
    </row>
    <row r="100" spans="1:10" ht="25.5">
      <c r="A100" s="7" t="s">
        <v>205</v>
      </c>
      <c r="B100" s="61"/>
      <c r="C100" s="6" t="s">
        <v>44</v>
      </c>
      <c r="D100" s="6" t="s">
        <v>44</v>
      </c>
      <c r="E100" s="6" t="s">
        <v>297</v>
      </c>
      <c r="F100" s="6" t="s">
        <v>204</v>
      </c>
      <c r="G100" s="46">
        <v>605.6</v>
      </c>
      <c r="H100" s="46">
        <v>513.20000000000005</v>
      </c>
      <c r="I100" s="46">
        <f t="shared" si="6"/>
        <v>541.42600000000004</v>
      </c>
      <c r="J100" s="46">
        <f t="shared" si="7"/>
        <v>568.49730000000011</v>
      </c>
    </row>
    <row r="101" spans="1:10" ht="25.5">
      <c r="A101" s="7" t="s">
        <v>207</v>
      </c>
      <c r="B101" s="61"/>
      <c r="C101" s="6" t="s">
        <v>44</v>
      </c>
      <c r="D101" s="6" t="s">
        <v>44</v>
      </c>
      <c r="E101" s="6" t="s">
        <v>297</v>
      </c>
      <c r="F101" s="6" t="s">
        <v>175</v>
      </c>
      <c r="G101" s="46"/>
      <c r="H101" s="46">
        <v>180.6</v>
      </c>
      <c r="I101" s="46">
        <f t="shared" si="6"/>
        <v>190.53299999999999</v>
      </c>
      <c r="J101" s="46">
        <f t="shared" si="7"/>
        <v>200.05965</v>
      </c>
    </row>
    <row r="102" spans="1:10" ht="25.5">
      <c r="A102" s="7" t="s">
        <v>207</v>
      </c>
      <c r="B102" s="61"/>
      <c r="C102" s="6" t="s">
        <v>44</v>
      </c>
      <c r="D102" s="6" t="s">
        <v>44</v>
      </c>
      <c r="E102" s="6" t="s">
        <v>297</v>
      </c>
      <c r="F102" s="6" t="s">
        <v>168</v>
      </c>
      <c r="G102" s="46">
        <v>2802.9</v>
      </c>
      <c r="H102" s="46">
        <v>2400.1</v>
      </c>
      <c r="I102" s="46">
        <f t="shared" si="6"/>
        <v>2532.1054999999997</v>
      </c>
      <c r="J102" s="46">
        <f t="shared" si="7"/>
        <v>2658.7107749999996</v>
      </c>
    </row>
    <row r="103" spans="1:10" ht="25.5">
      <c r="A103" s="7" t="s">
        <v>280</v>
      </c>
      <c r="B103" s="61"/>
      <c r="C103" s="6" t="s">
        <v>44</v>
      </c>
      <c r="D103" s="6" t="s">
        <v>44</v>
      </c>
      <c r="E103" s="6" t="s">
        <v>297</v>
      </c>
      <c r="F103" s="6" t="s">
        <v>189</v>
      </c>
      <c r="G103" s="46">
        <v>3040</v>
      </c>
      <c r="H103" s="46">
        <v>2640</v>
      </c>
      <c r="I103" s="46">
        <f t="shared" si="6"/>
        <v>2785.2</v>
      </c>
      <c r="J103" s="46">
        <f t="shared" si="7"/>
        <v>2924.46</v>
      </c>
    </row>
    <row r="104" spans="1:10">
      <c r="A104" s="7" t="s">
        <v>206</v>
      </c>
      <c r="B104" s="61"/>
      <c r="C104" s="6" t="s">
        <v>44</v>
      </c>
      <c r="D104" s="6" t="s">
        <v>44</v>
      </c>
      <c r="E104" s="6" t="s">
        <v>297</v>
      </c>
      <c r="F104" s="6" t="s">
        <v>192</v>
      </c>
      <c r="G104" s="46">
        <v>130</v>
      </c>
      <c r="H104" s="46">
        <v>0</v>
      </c>
      <c r="I104" s="46">
        <f t="shared" si="6"/>
        <v>0</v>
      </c>
      <c r="J104" s="46">
        <f t="shared" si="7"/>
        <v>0</v>
      </c>
    </row>
    <row r="105" spans="1:10" ht="18" customHeight="1">
      <c r="A105" s="7" t="s">
        <v>114</v>
      </c>
      <c r="B105" s="61"/>
      <c r="C105" s="6" t="s">
        <v>64</v>
      </c>
      <c r="D105" s="6"/>
      <c r="E105" s="6"/>
      <c r="F105" s="6"/>
      <c r="G105" s="46">
        <f>G106</f>
        <v>844.5</v>
      </c>
      <c r="H105" s="46">
        <f>H106</f>
        <v>545</v>
      </c>
      <c r="I105" s="46">
        <f>I106</f>
        <v>850</v>
      </c>
      <c r="J105" s="46">
        <f>J106</f>
        <v>850</v>
      </c>
    </row>
    <row r="106" spans="1:10" ht="17.25" customHeight="1">
      <c r="A106" s="7" t="s">
        <v>74</v>
      </c>
      <c r="B106" s="61"/>
      <c r="C106" s="6" t="s">
        <v>64</v>
      </c>
      <c r="D106" s="6" t="s">
        <v>64</v>
      </c>
      <c r="E106" s="6"/>
      <c r="F106" s="6"/>
      <c r="G106" s="46">
        <f>G107+G109+G110</f>
        <v>844.5</v>
      </c>
      <c r="H106" s="46">
        <f>H107+H109+H110</f>
        <v>545</v>
      </c>
      <c r="I106" s="46">
        <f>I107+I109+I110</f>
        <v>850</v>
      </c>
      <c r="J106" s="46">
        <f>J107+J109+J110</f>
        <v>850</v>
      </c>
    </row>
    <row r="107" spans="1:10" ht="51">
      <c r="A107" s="70" t="s">
        <v>277</v>
      </c>
      <c r="B107" s="61"/>
      <c r="C107" s="6" t="s">
        <v>64</v>
      </c>
      <c r="D107" s="6" t="s">
        <v>64</v>
      </c>
      <c r="E107" s="6" t="s">
        <v>276</v>
      </c>
      <c r="F107" s="6"/>
      <c r="G107" s="46">
        <f>G108</f>
        <v>100</v>
      </c>
      <c r="H107" s="46">
        <f>H108</f>
        <v>100</v>
      </c>
      <c r="I107" s="46">
        <v>50</v>
      </c>
      <c r="J107" s="46">
        <f>J108</f>
        <v>0</v>
      </c>
    </row>
    <row r="108" spans="1:10" ht="25.5">
      <c r="A108" s="7" t="s">
        <v>207</v>
      </c>
      <c r="B108" s="61"/>
      <c r="C108" s="6" t="s">
        <v>64</v>
      </c>
      <c r="D108" s="6" t="s">
        <v>64</v>
      </c>
      <c r="E108" s="6" t="s">
        <v>276</v>
      </c>
      <c r="F108" s="6" t="s">
        <v>168</v>
      </c>
      <c r="G108" s="46">
        <v>100</v>
      </c>
      <c r="H108" s="46">
        <v>100</v>
      </c>
      <c r="I108" s="46">
        <v>50</v>
      </c>
      <c r="J108" s="46">
        <v>0</v>
      </c>
    </row>
    <row r="109" spans="1:10" ht="29.25" customHeight="1">
      <c r="A109" s="7" t="s">
        <v>194</v>
      </c>
      <c r="B109" s="61"/>
      <c r="C109" s="6" t="s">
        <v>64</v>
      </c>
      <c r="D109" s="6" t="s">
        <v>64</v>
      </c>
      <c r="E109" s="6" t="s">
        <v>30</v>
      </c>
      <c r="F109" s="6" t="s">
        <v>168</v>
      </c>
      <c r="G109" s="46">
        <v>700</v>
      </c>
      <c r="H109" s="46">
        <v>400</v>
      </c>
      <c r="I109" s="46">
        <v>800</v>
      </c>
      <c r="J109" s="46">
        <v>850</v>
      </c>
    </row>
    <row r="110" spans="1:10" ht="30" customHeight="1">
      <c r="A110" s="7" t="s">
        <v>332</v>
      </c>
      <c r="B110" s="61"/>
      <c r="C110" s="6" t="s">
        <v>64</v>
      </c>
      <c r="D110" s="6" t="s">
        <v>64</v>
      </c>
      <c r="E110" s="6" t="s">
        <v>31</v>
      </c>
      <c r="F110" s="6" t="s">
        <v>168</v>
      </c>
      <c r="G110" s="46">
        <v>44.5</v>
      </c>
      <c r="H110" s="46">
        <v>45</v>
      </c>
      <c r="I110" s="46"/>
      <c r="J110" s="46"/>
    </row>
    <row r="111" spans="1:10">
      <c r="A111" s="7" t="s">
        <v>97</v>
      </c>
      <c r="B111" s="61"/>
      <c r="C111" s="6">
        <v>10</v>
      </c>
      <c r="D111" s="6"/>
      <c r="E111" s="6"/>
      <c r="F111" s="6"/>
      <c r="G111" s="46">
        <f>G112+G115+G123</f>
        <v>24992.3</v>
      </c>
      <c r="H111" s="46">
        <f>H112+H115+H123</f>
        <v>28161.5</v>
      </c>
      <c r="I111" s="46">
        <f>I112+I115+I123</f>
        <v>24159.8825</v>
      </c>
      <c r="J111" s="46">
        <f>J112+J115+J123</f>
        <v>25367.876625000001</v>
      </c>
    </row>
    <row r="112" spans="1:10" ht="16.5" customHeight="1">
      <c r="A112" s="7" t="s">
        <v>98</v>
      </c>
      <c r="B112" s="61"/>
      <c r="C112" s="6">
        <v>10</v>
      </c>
      <c r="D112" s="6" t="s">
        <v>10</v>
      </c>
      <c r="E112" s="6"/>
      <c r="F112" s="6"/>
      <c r="G112" s="46">
        <f>G113</f>
        <v>5930.1</v>
      </c>
      <c r="H112" s="46">
        <f>H113</f>
        <v>8797.5</v>
      </c>
      <c r="I112" s="46">
        <f t="shared" si="6"/>
        <v>9281.3624999999993</v>
      </c>
      <c r="J112" s="46">
        <f t="shared" si="7"/>
        <v>9745.4306249999991</v>
      </c>
    </row>
    <row r="113" spans="1:10" ht="38.25">
      <c r="A113" s="7" t="s">
        <v>101</v>
      </c>
      <c r="B113" s="61"/>
      <c r="C113" s="6">
        <v>10</v>
      </c>
      <c r="D113" s="6" t="s">
        <v>10</v>
      </c>
      <c r="E113" s="6" t="s">
        <v>102</v>
      </c>
      <c r="F113" s="6"/>
      <c r="G113" s="46">
        <f>G114</f>
        <v>5930.1</v>
      </c>
      <c r="H113" s="46">
        <f>H114</f>
        <v>8797.5</v>
      </c>
      <c r="I113" s="46">
        <f t="shared" si="6"/>
        <v>9281.3624999999993</v>
      </c>
      <c r="J113" s="46">
        <f t="shared" si="7"/>
        <v>9745.4306249999991</v>
      </c>
    </row>
    <row r="114" spans="1:10" ht="25.5">
      <c r="A114" s="7" t="s">
        <v>282</v>
      </c>
      <c r="B114" s="61"/>
      <c r="C114" s="6">
        <v>10</v>
      </c>
      <c r="D114" s="6" t="s">
        <v>10</v>
      </c>
      <c r="E114" s="6" t="s">
        <v>102</v>
      </c>
      <c r="F114" s="6" t="s">
        <v>208</v>
      </c>
      <c r="G114" s="46">
        <v>5930.1</v>
      </c>
      <c r="H114" s="46">
        <v>8797.5</v>
      </c>
      <c r="I114" s="46">
        <f t="shared" si="6"/>
        <v>9281.3624999999993</v>
      </c>
      <c r="J114" s="46">
        <f t="shared" si="7"/>
        <v>9745.4306249999991</v>
      </c>
    </row>
    <row r="115" spans="1:10" ht="18" customHeight="1">
      <c r="A115" s="7" t="s">
        <v>103</v>
      </c>
      <c r="B115" s="61"/>
      <c r="C115" s="6" t="s">
        <v>94</v>
      </c>
      <c r="D115" s="6" t="s">
        <v>12</v>
      </c>
      <c r="E115" s="6"/>
      <c r="F115" s="6"/>
      <c r="G115" s="46">
        <f>G116+G118+G122</f>
        <v>17532</v>
      </c>
      <c r="H115" s="46">
        <f>H118+H120</f>
        <v>19364</v>
      </c>
      <c r="I115" s="46">
        <f>I116+I118+I120</f>
        <v>14878.52</v>
      </c>
      <c r="J115" s="46">
        <f t="shared" si="7"/>
        <v>15622.446000000002</v>
      </c>
    </row>
    <row r="116" spans="1:10" ht="18" customHeight="1">
      <c r="A116" s="7" t="s">
        <v>353</v>
      </c>
      <c r="B116" s="61"/>
      <c r="C116" s="6" t="s">
        <v>94</v>
      </c>
      <c r="D116" s="6" t="s">
        <v>12</v>
      </c>
      <c r="E116" s="6" t="s">
        <v>352</v>
      </c>
      <c r="F116" s="6"/>
      <c r="G116" s="46">
        <f>G117</f>
        <v>562</v>
      </c>
      <c r="H116" s="46">
        <v>0</v>
      </c>
      <c r="I116" s="46">
        <v>0</v>
      </c>
      <c r="J116" s="46">
        <v>0</v>
      </c>
    </row>
    <row r="117" spans="1:10" ht="25.5">
      <c r="A117" s="7" t="s">
        <v>207</v>
      </c>
      <c r="B117" s="61"/>
      <c r="C117" s="6" t="s">
        <v>94</v>
      </c>
      <c r="D117" s="6" t="s">
        <v>12</v>
      </c>
      <c r="E117" s="6" t="s">
        <v>352</v>
      </c>
      <c r="F117" s="6" t="s">
        <v>168</v>
      </c>
      <c r="G117" s="46">
        <v>562</v>
      </c>
      <c r="H117" s="46">
        <v>0</v>
      </c>
      <c r="I117" s="46">
        <v>0</v>
      </c>
      <c r="J117" s="46">
        <v>0</v>
      </c>
    </row>
    <row r="118" spans="1:10" ht="25.5">
      <c r="A118" s="7" t="s">
        <v>202</v>
      </c>
      <c r="B118" s="61"/>
      <c r="C118" s="6" t="s">
        <v>94</v>
      </c>
      <c r="D118" s="6" t="s">
        <v>12</v>
      </c>
      <c r="E118" s="6" t="s">
        <v>151</v>
      </c>
      <c r="F118" s="62"/>
      <c r="G118" s="46">
        <f>G119</f>
        <v>16400</v>
      </c>
      <c r="H118" s="46">
        <f>H119</f>
        <v>19100</v>
      </c>
      <c r="I118" s="46">
        <f>I119</f>
        <v>14600</v>
      </c>
      <c r="J118" s="46">
        <f>J119</f>
        <v>15400</v>
      </c>
    </row>
    <row r="119" spans="1:10" ht="17.25" customHeight="1">
      <c r="A119" s="7" t="s">
        <v>283</v>
      </c>
      <c r="B119" s="61"/>
      <c r="C119" s="6" t="s">
        <v>94</v>
      </c>
      <c r="D119" s="6" t="s">
        <v>12</v>
      </c>
      <c r="E119" s="6" t="s">
        <v>151</v>
      </c>
      <c r="F119" s="62">
        <v>322</v>
      </c>
      <c r="G119" s="46">
        <v>16400</v>
      </c>
      <c r="H119" s="46">
        <v>19100</v>
      </c>
      <c r="I119" s="46">
        <v>14600</v>
      </c>
      <c r="J119" s="46">
        <v>15400</v>
      </c>
    </row>
    <row r="120" spans="1:10" ht="18" customHeight="1">
      <c r="A120" s="7" t="s">
        <v>103</v>
      </c>
      <c r="B120" s="61"/>
      <c r="C120" s="6" t="s">
        <v>94</v>
      </c>
      <c r="D120" s="6" t="s">
        <v>12</v>
      </c>
      <c r="E120" s="6"/>
      <c r="F120" s="62"/>
      <c r="G120" s="46">
        <f>G122</f>
        <v>570</v>
      </c>
      <c r="H120" s="46">
        <f>H121</f>
        <v>264</v>
      </c>
      <c r="I120" s="46">
        <f t="shared" si="6"/>
        <v>278.52</v>
      </c>
      <c r="J120" s="46">
        <f t="shared" si="7"/>
        <v>292.44599999999997</v>
      </c>
    </row>
    <row r="121" spans="1:10" ht="25.5">
      <c r="A121" s="70" t="s">
        <v>328</v>
      </c>
      <c r="B121" s="61"/>
      <c r="C121" s="6" t="s">
        <v>94</v>
      </c>
      <c r="D121" s="6" t="s">
        <v>12</v>
      </c>
      <c r="E121" s="6" t="s">
        <v>352</v>
      </c>
      <c r="F121" s="62">
        <v>321</v>
      </c>
      <c r="G121" s="46">
        <v>0</v>
      </c>
      <c r="H121" s="46">
        <v>264</v>
      </c>
      <c r="I121" s="46">
        <f t="shared" si="6"/>
        <v>278.52</v>
      </c>
      <c r="J121" s="46">
        <f t="shared" si="7"/>
        <v>292.44599999999997</v>
      </c>
    </row>
    <row r="122" spans="1:10" ht="25.5">
      <c r="A122" s="7" t="s">
        <v>207</v>
      </c>
      <c r="B122" s="61"/>
      <c r="C122" s="6" t="s">
        <v>94</v>
      </c>
      <c r="D122" s="6" t="s">
        <v>12</v>
      </c>
      <c r="E122" s="6" t="s">
        <v>275</v>
      </c>
      <c r="F122" s="62">
        <v>244</v>
      </c>
      <c r="G122" s="46">
        <v>570</v>
      </c>
      <c r="H122" s="46">
        <v>0</v>
      </c>
      <c r="I122" s="46">
        <f t="shared" si="6"/>
        <v>0</v>
      </c>
      <c r="J122" s="46">
        <f t="shared" si="7"/>
        <v>0</v>
      </c>
    </row>
    <row r="123" spans="1:10" ht="16.5" customHeight="1">
      <c r="A123" s="7" t="s">
        <v>244</v>
      </c>
      <c r="B123" s="61"/>
      <c r="C123" s="6" t="s">
        <v>94</v>
      </c>
      <c r="D123" s="6" t="s">
        <v>89</v>
      </c>
      <c r="E123" s="6"/>
      <c r="F123" s="62"/>
      <c r="G123" s="46">
        <f>G124</f>
        <v>1530.2</v>
      </c>
      <c r="H123" s="46"/>
      <c r="I123" s="46">
        <f t="shared" si="6"/>
        <v>0</v>
      </c>
      <c r="J123" s="46">
        <f t="shared" si="7"/>
        <v>0</v>
      </c>
    </row>
    <row r="124" spans="1:10" ht="17.25" customHeight="1">
      <c r="A124" s="7" t="s">
        <v>353</v>
      </c>
      <c r="B124" s="61"/>
      <c r="C124" s="6" t="s">
        <v>94</v>
      </c>
      <c r="D124" s="6" t="s">
        <v>89</v>
      </c>
      <c r="E124" s="6" t="s">
        <v>352</v>
      </c>
      <c r="F124" s="62"/>
      <c r="G124" s="46">
        <f>G125</f>
        <v>1530.2</v>
      </c>
      <c r="H124" s="46">
        <v>0</v>
      </c>
      <c r="I124" s="46">
        <f t="shared" si="6"/>
        <v>0</v>
      </c>
      <c r="J124" s="46">
        <f t="shared" si="7"/>
        <v>0</v>
      </c>
    </row>
    <row r="125" spans="1:10" ht="31.5" customHeight="1">
      <c r="A125" s="7" t="s">
        <v>361</v>
      </c>
      <c r="B125" s="61"/>
      <c r="C125" s="6" t="s">
        <v>94</v>
      </c>
      <c r="D125" s="6" t="s">
        <v>89</v>
      </c>
      <c r="E125" s="6" t="s">
        <v>352</v>
      </c>
      <c r="F125" s="6" t="s">
        <v>360</v>
      </c>
      <c r="G125" s="46">
        <v>1530.2</v>
      </c>
      <c r="H125" s="46">
        <v>0</v>
      </c>
      <c r="I125" s="46">
        <f t="shared" si="6"/>
        <v>0</v>
      </c>
      <c r="J125" s="46">
        <f t="shared" si="7"/>
        <v>0</v>
      </c>
    </row>
    <row r="126" spans="1:10" hidden="1">
      <c r="A126" s="7" t="s">
        <v>209</v>
      </c>
      <c r="B126" s="61"/>
      <c r="C126" s="6" t="s">
        <v>94</v>
      </c>
      <c r="D126" s="6" t="s">
        <v>89</v>
      </c>
      <c r="E126" s="6"/>
      <c r="F126" s="6" t="s">
        <v>167</v>
      </c>
      <c r="G126" s="46"/>
      <c r="H126" s="46">
        <v>0</v>
      </c>
      <c r="I126" s="46">
        <f t="shared" si="6"/>
        <v>0</v>
      </c>
      <c r="J126" s="46">
        <f t="shared" si="7"/>
        <v>0</v>
      </c>
    </row>
    <row r="127" spans="1:10" hidden="1">
      <c r="A127" s="61" t="s">
        <v>135</v>
      </c>
      <c r="B127" s="61"/>
      <c r="C127" s="6" t="s">
        <v>24</v>
      </c>
      <c r="D127" s="6"/>
      <c r="E127" s="6"/>
      <c r="F127" s="6"/>
      <c r="G127" s="46"/>
      <c r="H127" s="46"/>
      <c r="I127" s="46">
        <f t="shared" si="6"/>
        <v>0</v>
      </c>
      <c r="J127" s="46">
        <f t="shared" si="7"/>
        <v>0</v>
      </c>
    </row>
    <row r="128" spans="1:10" hidden="1">
      <c r="A128" s="7" t="s">
        <v>136</v>
      </c>
      <c r="B128" s="61"/>
      <c r="C128" s="6" t="s">
        <v>24</v>
      </c>
      <c r="D128" s="6" t="s">
        <v>50</v>
      </c>
      <c r="E128" s="6"/>
      <c r="F128" s="6"/>
      <c r="G128" s="46"/>
      <c r="H128" s="46"/>
      <c r="I128" s="46">
        <f t="shared" si="6"/>
        <v>0</v>
      </c>
      <c r="J128" s="46">
        <f t="shared" si="7"/>
        <v>0</v>
      </c>
    </row>
    <row r="129" spans="1:10" ht="25.5" hidden="1">
      <c r="A129" s="7" t="s">
        <v>87</v>
      </c>
      <c r="B129" s="61"/>
      <c r="C129" s="6" t="s">
        <v>24</v>
      </c>
      <c r="D129" s="6" t="s">
        <v>50</v>
      </c>
      <c r="E129" s="6" t="s">
        <v>88</v>
      </c>
      <c r="F129" s="6"/>
      <c r="G129" s="46"/>
      <c r="H129" s="46"/>
      <c r="I129" s="46">
        <f t="shared" si="6"/>
        <v>0</v>
      </c>
      <c r="J129" s="46">
        <f t="shared" si="7"/>
        <v>0</v>
      </c>
    </row>
    <row r="130" spans="1:10" hidden="1">
      <c r="A130" s="7" t="s">
        <v>209</v>
      </c>
      <c r="B130" s="61"/>
      <c r="C130" s="6" t="s">
        <v>24</v>
      </c>
      <c r="D130" s="6" t="s">
        <v>50</v>
      </c>
      <c r="E130" s="6" t="s">
        <v>88</v>
      </c>
      <c r="F130" s="6" t="s">
        <v>171</v>
      </c>
      <c r="G130" s="46"/>
      <c r="H130" s="46"/>
      <c r="I130" s="46">
        <f t="shared" si="6"/>
        <v>0</v>
      </c>
      <c r="J130" s="46">
        <f t="shared" si="7"/>
        <v>0</v>
      </c>
    </row>
    <row r="131" spans="1:10" ht="25.5" hidden="1">
      <c r="A131" s="7" t="s">
        <v>205</v>
      </c>
      <c r="B131" s="61"/>
      <c r="C131" s="6" t="s">
        <v>24</v>
      </c>
      <c r="D131" s="6" t="s">
        <v>50</v>
      </c>
      <c r="E131" s="6" t="s">
        <v>88</v>
      </c>
      <c r="F131" s="6" t="s">
        <v>204</v>
      </c>
      <c r="G131" s="46"/>
      <c r="H131" s="46"/>
      <c r="I131" s="46">
        <f t="shared" si="6"/>
        <v>0</v>
      </c>
      <c r="J131" s="46">
        <f t="shared" si="7"/>
        <v>0</v>
      </c>
    </row>
    <row r="132" spans="1:10" ht="25.5" hidden="1">
      <c r="A132" s="7" t="s">
        <v>207</v>
      </c>
      <c r="B132" s="61"/>
      <c r="C132" s="6" t="s">
        <v>24</v>
      </c>
      <c r="D132" s="6" t="s">
        <v>50</v>
      </c>
      <c r="E132" s="6" t="s">
        <v>88</v>
      </c>
      <c r="F132" s="6" t="s">
        <v>168</v>
      </c>
      <c r="G132" s="46"/>
      <c r="H132" s="46"/>
      <c r="I132" s="46">
        <f t="shared" si="6"/>
        <v>0</v>
      </c>
      <c r="J132" s="46">
        <f t="shared" si="7"/>
        <v>0</v>
      </c>
    </row>
    <row r="133" spans="1:10" ht="25.5" hidden="1">
      <c r="A133" s="7" t="s">
        <v>280</v>
      </c>
      <c r="B133" s="61"/>
      <c r="C133" s="6" t="s">
        <v>24</v>
      </c>
      <c r="D133" s="6" t="s">
        <v>50</v>
      </c>
      <c r="E133" s="6" t="s">
        <v>88</v>
      </c>
      <c r="F133" s="6" t="s">
        <v>189</v>
      </c>
      <c r="G133" s="46"/>
      <c r="H133" s="46"/>
      <c r="I133" s="46">
        <f t="shared" si="6"/>
        <v>0</v>
      </c>
      <c r="J133" s="46">
        <f t="shared" si="7"/>
        <v>0</v>
      </c>
    </row>
    <row r="134" spans="1:10" ht="15.75" hidden="1" customHeight="1">
      <c r="A134" s="7" t="s">
        <v>206</v>
      </c>
      <c r="B134" s="61"/>
      <c r="C134" s="6" t="s">
        <v>24</v>
      </c>
      <c r="D134" s="6" t="s">
        <v>50</v>
      </c>
      <c r="E134" s="6" t="s">
        <v>88</v>
      </c>
      <c r="F134" s="6" t="s">
        <v>192</v>
      </c>
      <c r="G134" s="46"/>
      <c r="H134" s="46"/>
      <c r="I134" s="46">
        <f t="shared" si="6"/>
        <v>0</v>
      </c>
      <c r="J134" s="46">
        <f t="shared" si="7"/>
        <v>0</v>
      </c>
    </row>
    <row r="135" spans="1:10" ht="25.5">
      <c r="A135" s="1" t="s">
        <v>132</v>
      </c>
      <c r="B135" s="67">
        <v>805</v>
      </c>
      <c r="C135" s="5"/>
      <c r="D135" s="5"/>
      <c r="E135" s="5"/>
      <c r="F135" s="5"/>
      <c r="G135" s="45">
        <f t="shared" ref="G135:H139" si="8">G136</f>
        <v>4541.5</v>
      </c>
      <c r="H135" s="45">
        <f t="shared" si="8"/>
        <v>5054.6000000000004</v>
      </c>
      <c r="I135" s="45">
        <f t="shared" si="6"/>
        <v>5332.6030000000001</v>
      </c>
      <c r="J135" s="45">
        <f t="shared" si="7"/>
        <v>5599.23315</v>
      </c>
    </row>
    <row r="136" spans="1:10">
      <c r="A136" s="7" t="s">
        <v>9</v>
      </c>
      <c r="B136" s="61"/>
      <c r="C136" s="6" t="s">
        <v>10</v>
      </c>
      <c r="D136" s="62"/>
      <c r="E136" s="62"/>
      <c r="F136" s="62"/>
      <c r="G136" s="46">
        <f>G137</f>
        <v>4541.5</v>
      </c>
      <c r="H136" s="46">
        <f t="shared" si="8"/>
        <v>5054.6000000000004</v>
      </c>
      <c r="I136" s="46">
        <f t="shared" si="6"/>
        <v>5332.6030000000001</v>
      </c>
      <c r="J136" s="46">
        <f t="shared" si="7"/>
        <v>5599.23315</v>
      </c>
    </row>
    <row r="137" spans="1:10" ht="38.25">
      <c r="A137" s="7" t="s">
        <v>133</v>
      </c>
      <c r="B137" s="5"/>
      <c r="C137" s="6" t="s">
        <v>10</v>
      </c>
      <c r="D137" s="6" t="s">
        <v>89</v>
      </c>
      <c r="E137" s="6"/>
      <c r="F137" s="6"/>
      <c r="G137" s="46">
        <f>G138</f>
        <v>4541.5</v>
      </c>
      <c r="H137" s="46">
        <f t="shared" si="8"/>
        <v>5054.6000000000004</v>
      </c>
      <c r="I137" s="46">
        <f t="shared" si="6"/>
        <v>5332.6030000000001</v>
      </c>
      <c r="J137" s="46">
        <f t="shared" si="7"/>
        <v>5599.23315</v>
      </c>
    </row>
    <row r="138" spans="1:10" ht="51">
      <c r="A138" s="7" t="s">
        <v>13</v>
      </c>
      <c r="B138" s="6"/>
      <c r="C138" s="6" t="s">
        <v>10</v>
      </c>
      <c r="D138" s="6" t="s">
        <v>89</v>
      </c>
      <c r="E138" s="6" t="s">
        <v>14</v>
      </c>
      <c r="F138" s="6"/>
      <c r="G138" s="46">
        <f>G139</f>
        <v>4541.5</v>
      </c>
      <c r="H138" s="46">
        <f t="shared" si="8"/>
        <v>5054.6000000000004</v>
      </c>
      <c r="I138" s="46">
        <f t="shared" si="6"/>
        <v>5332.6030000000001</v>
      </c>
      <c r="J138" s="46">
        <f t="shared" si="7"/>
        <v>5599.23315</v>
      </c>
    </row>
    <row r="139" spans="1:10">
      <c r="A139" s="7" t="s">
        <v>15</v>
      </c>
      <c r="B139" s="6"/>
      <c r="C139" s="6" t="s">
        <v>10</v>
      </c>
      <c r="D139" s="6" t="s">
        <v>89</v>
      </c>
      <c r="E139" s="6" t="s">
        <v>16</v>
      </c>
      <c r="F139" s="6"/>
      <c r="G139" s="46">
        <f>G140</f>
        <v>4541.5</v>
      </c>
      <c r="H139" s="46">
        <f t="shared" si="8"/>
        <v>5054.6000000000004</v>
      </c>
      <c r="I139" s="46">
        <f t="shared" si="6"/>
        <v>5332.6030000000001</v>
      </c>
      <c r="J139" s="46">
        <f t="shared" si="7"/>
        <v>5599.23315</v>
      </c>
    </row>
    <row r="140" spans="1:10">
      <c r="A140" s="7" t="s">
        <v>15</v>
      </c>
      <c r="B140" s="6"/>
      <c r="C140" s="6" t="s">
        <v>10</v>
      </c>
      <c r="D140" s="6" t="s">
        <v>89</v>
      </c>
      <c r="E140" s="6" t="s">
        <v>17</v>
      </c>
      <c r="F140" s="6"/>
      <c r="G140" s="46">
        <f>SUM(G141:G147)</f>
        <v>4541.5</v>
      </c>
      <c r="H140" s="46">
        <f>SUM(H141:H147)</f>
        <v>5054.6000000000004</v>
      </c>
      <c r="I140" s="46">
        <f t="shared" si="6"/>
        <v>5332.6030000000001</v>
      </c>
      <c r="J140" s="46">
        <f t="shared" si="7"/>
        <v>5599.23315</v>
      </c>
    </row>
    <row r="141" spans="1:10">
      <c r="A141" s="7" t="s">
        <v>209</v>
      </c>
      <c r="B141" s="6"/>
      <c r="C141" s="6" t="s">
        <v>10</v>
      </c>
      <c r="D141" s="6" t="s">
        <v>89</v>
      </c>
      <c r="E141" s="6" t="s">
        <v>17</v>
      </c>
      <c r="F141" s="6" t="s">
        <v>167</v>
      </c>
      <c r="G141" s="46">
        <v>3983.6</v>
      </c>
      <c r="H141" s="46">
        <v>4222.7</v>
      </c>
      <c r="I141" s="46">
        <f t="shared" si="6"/>
        <v>4454.9484999999995</v>
      </c>
      <c r="J141" s="46">
        <f t="shared" si="7"/>
        <v>4677.695925</v>
      </c>
    </row>
    <row r="142" spans="1:10" ht="25.5">
      <c r="A142" s="7" t="s">
        <v>221</v>
      </c>
      <c r="B142" s="6"/>
      <c r="C142" s="6" t="s">
        <v>10</v>
      </c>
      <c r="D142" s="6" t="s">
        <v>89</v>
      </c>
      <c r="E142" s="6" t="s">
        <v>324</v>
      </c>
      <c r="F142" s="6" t="s">
        <v>203</v>
      </c>
      <c r="G142" s="46"/>
      <c r="H142" s="46">
        <v>42</v>
      </c>
      <c r="I142" s="46">
        <f t="shared" si="6"/>
        <v>44.309999999999995</v>
      </c>
      <c r="J142" s="46">
        <f t="shared" si="7"/>
        <v>46.525499999999994</v>
      </c>
    </row>
    <row r="143" spans="1:10" ht="25.5">
      <c r="A143" s="7" t="s">
        <v>205</v>
      </c>
      <c r="B143" s="6"/>
      <c r="C143" s="6" t="s">
        <v>10</v>
      </c>
      <c r="D143" s="6" t="s">
        <v>89</v>
      </c>
      <c r="E143" s="6" t="s">
        <v>17</v>
      </c>
      <c r="F143" s="6" t="s">
        <v>204</v>
      </c>
      <c r="G143" s="46">
        <v>251.2</v>
      </c>
      <c r="H143" s="46">
        <v>338</v>
      </c>
      <c r="I143" s="46">
        <f t="shared" si="6"/>
        <v>356.59</v>
      </c>
      <c r="J143" s="46">
        <f t="shared" si="7"/>
        <v>374.41949999999997</v>
      </c>
    </row>
    <row r="144" spans="1:10" ht="38.25">
      <c r="A144" s="7" t="s">
        <v>223</v>
      </c>
      <c r="B144" s="6"/>
      <c r="C144" s="6" t="s">
        <v>10</v>
      </c>
      <c r="D144" s="6" t="s">
        <v>89</v>
      </c>
      <c r="E144" s="6" t="s">
        <v>17</v>
      </c>
      <c r="F144" s="6" t="s">
        <v>175</v>
      </c>
      <c r="G144" s="46">
        <v>0</v>
      </c>
      <c r="H144" s="46">
        <v>30</v>
      </c>
      <c r="I144" s="46">
        <f t="shared" si="6"/>
        <v>31.65</v>
      </c>
      <c r="J144" s="46">
        <f t="shared" si="7"/>
        <v>33.232500000000002</v>
      </c>
    </row>
    <row r="145" spans="1:10" ht="25.5">
      <c r="A145" s="7" t="s">
        <v>207</v>
      </c>
      <c r="B145" s="6"/>
      <c r="C145" s="6" t="s">
        <v>10</v>
      </c>
      <c r="D145" s="6" t="s">
        <v>89</v>
      </c>
      <c r="E145" s="6" t="s">
        <v>17</v>
      </c>
      <c r="F145" s="6" t="s">
        <v>168</v>
      </c>
      <c r="G145" s="46">
        <v>291.7</v>
      </c>
      <c r="H145" s="46">
        <v>411.3</v>
      </c>
      <c r="I145" s="46">
        <f t="shared" si="6"/>
        <v>433.92149999999998</v>
      </c>
      <c r="J145" s="46">
        <f t="shared" si="7"/>
        <v>455.61757499999999</v>
      </c>
    </row>
    <row r="146" spans="1:10" ht="25.5">
      <c r="A146" s="7" t="s">
        <v>280</v>
      </c>
      <c r="B146" s="6"/>
      <c r="C146" s="6" t="s">
        <v>10</v>
      </c>
      <c r="D146" s="6" t="s">
        <v>89</v>
      </c>
      <c r="E146" s="6" t="s">
        <v>17</v>
      </c>
      <c r="F146" s="6" t="s">
        <v>189</v>
      </c>
      <c r="G146" s="46">
        <v>10</v>
      </c>
      <c r="H146" s="46">
        <v>5.6</v>
      </c>
      <c r="I146" s="73">
        <f t="shared" si="6"/>
        <v>5.9079999999999995</v>
      </c>
      <c r="J146" s="46">
        <f t="shared" si="7"/>
        <v>6.2033999999999994</v>
      </c>
    </row>
    <row r="147" spans="1:10">
      <c r="A147" s="7" t="s">
        <v>206</v>
      </c>
      <c r="B147" s="6"/>
      <c r="C147" s="6" t="s">
        <v>10</v>
      </c>
      <c r="D147" s="6" t="s">
        <v>89</v>
      </c>
      <c r="E147" s="6" t="s">
        <v>17</v>
      </c>
      <c r="F147" s="6" t="s">
        <v>192</v>
      </c>
      <c r="G147" s="46">
        <v>5</v>
      </c>
      <c r="H147" s="46">
        <v>5</v>
      </c>
      <c r="I147" s="46">
        <f t="shared" ref="I147:I215" si="9">H147*105.5%</f>
        <v>5.2749999999999995</v>
      </c>
      <c r="J147" s="46">
        <f t="shared" ref="J147:J215" si="10">I147*105%</f>
        <v>5.5387499999999994</v>
      </c>
    </row>
    <row r="148" spans="1:10" ht="25.5" hidden="1">
      <c r="A148" s="67" t="s">
        <v>227</v>
      </c>
      <c r="B148" s="67" t="s">
        <v>226</v>
      </c>
      <c r="C148" s="5"/>
      <c r="D148" s="5"/>
      <c r="E148" s="5"/>
      <c r="F148" s="5"/>
      <c r="G148" s="45"/>
      <c r="H148" s="46"/>
      <c r="I148" s="46">
        <f t="shared" si="9"/>
        <v>0</v>
      </c>
      <c r="J148" s="46">
        <f t="shared" si="10"/>
        <v>0</v>
      </c>
    </row>
    <row r="149" spans="1:10" hidden="1">
      <c r="A149" s="61" t="s">
        <v>9</v>
      </c>
      <c r="B149" s="61"/>
      <c r="C149" s="6" t="s">
        <v>10</v>
      </c>
      <c r="D149" s="6"/>
      <c r="E149" s="6"/>
      <c r="F149" s="6"/>
      <c r="G149" s="46"/>
      <c r="H149" s="46"/>
      <c r="I149" s="46">
        <f t="shared" si="9"/>
        <v>0</v>
      </c>
      <c r="J149" s="46">
        <f t="shared" si="10"/>
        <v>0</v>
      </c>
    </row>
    <row r="150" spans="1:10" hidden="1">
      <c r="A150" s="7" t="s">
        <v>28</v>
      </c>
      <c r="B150" s="61"/>
      <c r="C150" s="8" t="s">
        <v>10</v>
      </c>
      <c r="D150" s="6" t="s">
        <v>154</v>
      </c>
      <c r="E150" s="6"/>
      <c r="F150" s="6"/>
      <c r="G150" s="46"/>
      <c r="H150" s="46"/>
      <c r="I150" s="46">
        <f t="shared" si="9"/>
        <v>0</v>
      </c>
      <c r="J150" s="46">
        <f t="shared" si="10"/>
        <v>0</v>
      </c>
    </row>
    <row r="151" spans="1:10" ht="25.5" hidden="1">
      <c r="A151" s="7" t="s">
        <v>229</v>
      </c>
      <c r="B151" s="6"/>
      <c r="C151" s="6" t="s">
        <v>10</v>
      </c>
      <c r="D151" s="6" t="s">
        <v>154</v>
      </c>
      <c r="E151" s="6" t="s">
        <v>228</v>
      </c>
      <c r="F151" s="6"/>
      <c r="G151" s="46"/>
      <c r="H151" s="46"/>
      <c r="I151" s="46">
        <f t="shared" si="9"/>
        <v>0</v>
      </c>
      <c r="J151" s="46">
        <f t="shared" si="10"/>
        <v>0</v>
      </c>
    </row>
    <row r="152" spans="1:10" hidden="1">
      <c r="A152" s="7" t="s">
        <v>209</v>
      </c>
      <c r="B152" s="6"/>
      <c r="C152" s="6" t="s">
        <v>10</v>
      </c>
      <c r="D152" s="6" t="s">
        <v>154</v>
      </c>
      <c r="E152" s="6" t="s">
        <v>228</v>
      </c>
      <c r="F152" s="6" t="s">
        <v>171</v>
      </c>
      <c r="G152" s="46"/>
      <c r="H152" s="46"/>
      <c r="I152" s="46">
        <f t="shared" si="9"/>
        <v>0</v>
      </c>
      <c r="J152" s="46">
        <f t="shared" si="10"/>
        <v>0</v>
      </c>
    </row>
    <row r="153" spans="1:10" ht="25.5" hidden="1">
      <c r="A153" s="7" t="s">
        <v>205</v>
      </c>
      <c r="B153" s="6"/>
      <c r="C153" s="6" t="s">
        <v>10</v>
      </c>
      <c r="D153" s="6" t="s">
        <v>154</v>
      </c>
      <c r="E153" s="6" t="s">
        <v>228</v>
      </c>
      <c r="F153" s="6" t="s">
        <v>204</v>
      </c>
      <c r="G153" s="46"/>
      <c r="H153" s="46"/>
      <c r="I153" s="46">
        <f t="shared" si="9"/>
        <v>0</v>
      </c>
      <c r="J153" s="46">
        <f t="shared" si="10"/>
        <v>0</v>
      </c>
    </row>
    <row r="154" spans="1:10" ht="25.5" hidden="1">
      <c r="A154" s="7" t="s">
        <v>207</v>
      </c>
      <c r="B154" s="6"/>
      <c r="C154" s="6" t="s">
        <v>10</v>
      </c>
      <c r="D154" s="6" t="s">
        <v>154</v>
      </c>
      <c r="E154" s="6" t="s">
        <v>228</v>
      </c>
      <c r="F154" s="6" t="s">
        <v>168</v>
      </c>
      <c r="G154" s="46"/>
      <c r="H154" s="46"/>
      <c r="I154" s="46">
        <f t="shared" si="9"/>
        <v>0</v>
      </c>
      <c r="J154" s="46">
        <f t="shared" si="10"/>
        <v>0</v>
      </c>
    </row>
    <row r="155" spans="1:10" ht="25.5" hidden="1">
      <c r="A155" s="7" t="s">
        <v>280</v>
      </c>
      <c r="B155" s="6"/>
      <c r="C155" s="6" t="s">
        <v>10</v>
      </c>
      <c r="D155" s="6" t="s">
        <v>154</v>
      </c>
      <c r="E155" s="6" t="s">
        <v>228</v>
      </c>
      <c r="F155" s="6" t="s">
        <v>189</v>
      </c>
      <c r="G155" s="46"/>
      <c r="H155" s="46"/>
      <c r="I155" s="46">
        <f t="shared" si="9"/>
        <v>0</v>
      </c>
      <c r="J155" s="46">
        <f t="shared" si="10"/>
        <v>0</v>
      </c>
    </row>
    <row r="156" spans="1:10" ht="25.5">
      <c r="A156" s="1" t="s">
        <v>378</v>
      </c>
      <c r="B156" s="67">
        <v>830</v>
      </c>
      <c r="C156" s="5"/>
      <c r="D156" s="5"/>
      <c r="E156" s="5"/>
      <c r="F156" s="5"/>
      <c r="G156" s="45">
        <f>G157+G169</f>
        <v>5369.1</v>
      </c>
      <c r="H156" s="45">
        <f>H157</f>
        <v>4309.2000000000007</v>
      </c>
      <c r="I156" s="45">
        <f t="shared" si="9"/>
        <v>4546.2060000000001</v>
      </c>
      <c r="J156" s="45">
        <f t="shared" si="10"/>
        <v>4773.5163000000002</v>
      </c>
    </row>
    <row r="157" spans="1:10">
      <c r="A157" s="7" t="s">
        <v>9</v>
      </c>
      <c r="B157" s="61"/>
      <c r="C157" s="6" t="s">
        <v>10</v>
      </c>
      <c r="D157" s="6"/>
      <c r="E157" s="6"/>
      <c r="F157" s="6"/>
      <c r="G157" s="46">
        <f>G158</f>
        <v>5273.3</v>
      </c>
      <c r="H157" s="46">
        <f>H158</f>
        <v>4309.2000000000007</v>
      </c>
      <c r="I157" s="46">
        <f t="shared" si="9"/>
        <v>4546.2060000000001</v>
      </c>
      <c r="J157" s="46">
        <f t="shared" si="10"/>
        <v>4773.5163000000002</v>
      </c>
    </row>
    <row r="158" spans="1:10" ht="51">
      <c r="A158" s="7" t="s">
        <v>11</v>
      </c>
      <c r="B158" s="61"/>
      <c r="C158" s="6" t="s">
        <v>10</v>
      </c>
      <c r="D158" s="6" t="s">
        <v>12</v>
      </c>
      <c r="E158" s="6"/>
      <c r="F158" s="6"/>
      <c r="G158" s="46">
        <f>G159</f>
        <v>5273.3</v>
      </c>
      <c r="H158" s="46">
        <f>H161</f>
        <v>4309.2000000000007</v>
      </c>
      <c r="I158" s="46">
        <f t="shared" si="9"/>
        <v>4546.2060000000001</v>
      </c>
      <c r="J158" s="46">
        <f t="shared" si="10"/>
        <v>4773.5163000000002</v>
      </c>
    </row>
    <row r="159" spans="1:10" ht="51">
      <c r="A159" s="7" t="s">
        <v>109</v>
      </c>
      <c r="B159" s="61"/>
      <c r="C159" s="6" t="s">
        <v>10</v>
      </c>
      <c r="D159" s="6" t="s">
        <v>12</v>
      </c>
      <c r="E159" s="6" t="s">
        <v>14</v>
      </c>
      <c r="F159" s="6"/>
      <c r="G159" s="46">
        <f>G160</f>
        <v>5273.3</v>
      </c>
      <c r="H159" s="46">
        <f>H160</f>
        <v>4309.2000000000007</v>
      </c>
      <c r="I159" s="46">
        <f t="shared" si="9"/>
        <v>4546.2060000000001</v>
      </c>
      <c r="J159" s="46">
        <f t="shared" si="10"/>
        <v>4773.5163000000002</v>
      </c>
    </row>
    <row r="160" spans="1:10">
      <c r="A160" s="7" t="s">
        <v>15</v>
      </c>
      <c r="B160" s="61"/>
      <c r="C160" s="6" t="s">
        <v>10</v>
      </c>
      <c r="D160" s="6" t="s">
        <v>12</v>
      </c>
      <c r="E160" s="6" t="s">
        <v>16</v>
      </c>
      <c r="F160" s="6"/>
      <c r="G160" s="46">
        <f>G161</f>
        <v>5273.3</v>
      </c>
      <c r="H160" s="46">
        <f>H161</f>
        <v>4309.2000000000007</v>
      </c>
      <c r="I160" s="46">
        <f t="shared" si="9"/>
        <v>4546.2060000000001</v>
      </c>
      <c r="J160" s="46">
        <f t="shared" si="10"/>
        <v>4773.5163000000002</v>
      </c>
    </row>
    <row r="161" spans="1:10">
      <c r="A161" s="7" t="s">
        <v>15</v>
      </c>
      <c r="B161" s="67"/>
      <c r="C161" s="6" t="s">
        <v>10</v>
      </c>
      <c r="D161" s="6" t="s">
        <v>12</v>
      </c>
      <c r="E161" s="6" t="s">
        <v>17</v>
      </c>
      <c r="F161" s="6"/>
      <c r="G161" s="46">
        <f>SUM(G162:G168)</f>
        <v>5273.3</v>
      </c>
      <c r="H161" s="46">
        <f>SUM(H162:H168)</f>
        <v>4309.2000000000007</v>
      </c>
      <c r="I161" s="46">
        <f t="shared" si="9"/>
        <v>4546.2060000000001</v>
      </c>
      <c r="J161" s="46">
        <f t="shared" si="10"/>
        <v>4773.5163000000002</v>
      </c>
    </row>
    <row r="162" spans="1:10">
      <c r="A162" s="7" t="s">
        <v>209</v>
      </c>
      <c r="B162" s="61"/>
      <c r="C162" s="6" t="s">
        <v>10</v>
      </c>
      <c r="D162" s="6" t="s">
        <v>12</v>
      </c>
      <c r="E162" s="6" t="s">
        <v>17</v>
      </c>
      <c r="F162" s="6" t="s">
        <v>167</v>
      </c>
      <c r="G162" s="46">
        <v>3490.9</v>
      </c>
      <c r="H162" s="46">
        <v>3749.8</v>
      </c>
      <c r="I162" s="46">
        <f t="shared" si="9"/>
        <v>3956.0389999999998</v>
      </c>
      <c r="J162" s="46">
        <f t="shared" si="10"/>
        <v>4153.8409499999998</v>
      </c>
    </row>
    <row r="163" spans="1:10" ht="25.5">
      <c r="A163" s="7" t="s">
        <v>221</v>
      </c>
      <c r="B163" s="61"/>
      <c r="C163" s="6" t="s">
        <v>10</v>
      </c>
      <c r="D163" s="6" t="s">
        <v>12</v>
      </c>
      <c r="E163" s="6" t="s">
        <v>17</v>
      </c>
      <c r="F163" s="6" t="s">
        <v>203</v>
      </c>
      <c r="G163" s="46">
        <v>35</v>
      </c>
      <c r="H163" s="46">
        <v>5</v>
      </c>
      <c r="I163" s="46">
        <f t="shared" si="9"/>
        <v>5.2749999999999995</v>
      </c>
      <c r="J163" s="46">
        <f t="shared" si="10"/>
        <v>5.5387499999999994</v>
      </c>
    </row>
    <row r="164" spans="1:10" ht="25.5">
      <c r="A164" s="7" t="s">
        <v>205</v>
      </c>
      <c r="B164" s="61"/>
      <c r="C164" s="6" t="s">
        <v>10</v>
      </c>
      <c r="D164" s="6" t="s">
        <v>12</v>
      </c>
      <c r="E164" s="6" t="s">
        <v>17</v>
      </c>
      <c r="F164" s="6" t="s">
        <v>204</v>
      </c>
      <c r="G164" s="46">
        <v>110.2</v>
      </c>
      <c r="H164" s="46">
        <v>136.5</v>
      </c>
      <c r="I164" s="46">
        <f t="shared" si="9"/>
        <v>144.00749999999999</v>
      </c>
      <c r="J164" s="46">
        <f t="shared" si="10"/>
        <v>151.207875</v>
      </c>
    </row>
    <row r="165" spans="1:10" ht="38.25">
      <c r="A165" s="7" t="s">
        <v>210</v>
      </c>
      <c r="B165" s="61"/>
      <c r="C165" s="6" t="s">
        <v>10</v>
      </c>
      <c r="D165" s="6" t="s">
        <v>12</v>
      </c>
      <c r="E165" s="6" t="s">
        <v>17</v>
      </c>
      <c r="F165" s="6" t="s">
        <v>175</v>
      </c>
      <c r="G165" s="46">
        <v>16</v>
      </c>
      <c r="H165" s="46">
        <v>30</v>
      </c>
      <c r="I165" s="46">
        <f t="shared" si="9"/>
        <v>31.65</v>
      </c>
      <c r="J165" s="46">
        <f t="shared" si="10"/>
        <v>33.232500000000002</v>
      </c>
    </row>
    <row r="166" spans="1:10" ht="25.5">
      <c r="A166" s="7" t="s">
        <v>207</v>
      </c>
      <c r="B166" s="61"/>
      <c r="C166" s="6" t="s">
        <v>10</v>
      </c>
      <c r="D166" s="6" t="s">
        <v>12</v>
      </c>
      <c r="E166" s="6" t="s">
        <v>17</v>
      </c>
      <c r="F166" s="6" t="s">
        <v>168</v>
      </c>
      <c r="G166" s="46">
        <v>1606.2</v>
      </c>
      <c r="H166" s="46">
        <v>323.10000000000002</v>
      </c>
      <c r="I166" s="46">
        <f t="shared" si="9"/>
        <v>340.87049999999999</v>
      </c>
      <c r="J166" s="46">
        <f t="shared" si="10"/>
        <v>357.91402499999998</v>
      </c>
    </row>
    <row r="167" spans="1:10" ht="25.5">
      <c r="A167" s="7" t="s">
        <v>380</v>
      </c>
      <c r="B167" s="61"/>
      <c r="C167" s="6" t="s">
        <v>10</v>
      </c>
      <c r="D167" s="6" t="s">
        <v>12</v>
      </c>
      <c r="E167" s="6" t="s">
        <v>17</v>
      </c>
      <c r="F167" s="6" t="s">
        <v>189</v>
      </c>
      <c r="G167" s="46">
        <v>10</v>
      </c>
      <c r="H167" s="46">
        <v>12.8</v>
      </c>
      <c r="I167" s="46">
        <f t="shared" si="9"/>
        <v>13.504</v>
      </c>
      <c r="J167" s="46">
        <f t="shared" si="10"/>
        <v>14.1792</v>
      </c>
    </row>
    <row r="168" spans="1:10">
      <c r="A168" s="7" t="s">
        <v>206</v>
      </c>
      <c r="B168" s="61"/>
      <c r="C168" s="6" t="s">
        <v>10</v>
      </c>
      <c r="D168" s="6" t="s">
        <v>12</v>
      </c>
      <c r="E168" s="6" t="s">
        <v>17</v>
      </c>
      <c r="F168" s="6" t="s">
        <v>192</v>
      </c>
      <c r="G168" s="46">
        <v>5</v>
      </c>
      <c r="H168" s="46">
        <v>52</v>
      </c>
      <c r="I168" s="46">
        <f t="shared" si="9"/>
        <v>54.86</v>
      </c>
      <c r="J168" s="46">
        <f t="shared" si="10"/>
        <v>57.603000000000002</v>
      </c>
    </row>
    <row r="169" spans="1:10" ht="25.5">
      <c r="A169" s="7" t="s">
        <v>129</v>
      </c>
      <c r="B169" s="61"/>
      <c r="C169" s="6" t="s">
        <v>10</v>
      </c>
      <c r="D169" s="6" t="s">
        <v>64</v>
      </c>
      <c r="E169" s="6"/>
      <c r="F169" s="6"/>
      <c r="G169" s="46">
        <f>G170</f>
        <v>95.8</v>
      </c>
      <c r="H169" s="46">
        <v>0</v>
      </c>
      <c r="I169" s="46">
        <f t="shared" si="9"/>
        <v>0</v>
      </c>
      <c r="J169" s="46">
        <f t="shared" si="10"/>
        <v>0</v>
      </c>
    </row>
    <row r="170" spans="1:10" ht="25.5">
      <c r="A170" s="7" t="s">
        <v>285</v>
      </c>
      <c r="B170" s="61"/>
      <c r="C170" s="6" t="s">
        <v>10</v>
      </c>
      <c r="D170" s="6" t="s">
        <v>64</v>
      </c>
      <c r="E170" s="6" t="s">
        <v>284</v>
      </c>
      <c r="F170" s="5"/>
      <c r="G170" s="46">
        <f>G171</f>
        <v>95.8</v>
      </c>
      <c r="H170" s="46">
        <v>0</v>
      </c>
      <c r="I170" s="46">
        <f t="shared" si="9"/>
        <v>0</v>
      </c>
      <c r="J170" s="46">
        <f t="shared" si="10"/>
        <v>0</v>
      </c>
    </row>
    <row r="171" spans="1:10">
      <c r="A171" s="7" t="s">
        <v>211</v>
      </c>
      <c r="B171" s="61"/>
      <c r="C171" s="6" t="s">
        <v>10</v>
      </c>
      <c r="D171" s="6" t="s">
        <v>64</v>
      </c>
      <c r="E171" s="6" t="s">
        <v>284</v>
      </c>
      <c r="F171" s="6" t="s">
        <v>168</v>
      </c>
      <c r="G171" s="46">
        <v>95.8</v>
      </c>
      <c r="H171" s="46">
        <v>0</v>
      </c>
      <c r="I171" s="46">
        <f t="shared" si="9"/>
        <v>0</v>
      </c>
      <c r="J171" s="46">
        <f t="shared" si="10"/>
        <v>0</v>
      </c>
    </row>
    <row r="172" spans="1:10" ht="25.5">
      <c r="A172" s="1" t="s">
        <v>150</v>
      </c>
      <c r="B172" s="67">
        <v>832</v>
      </c>
      <c r="C172" s="5"/>
      <c r="D172" s="5"/>
      <c r="E172" s="5"/>
      <c r="F172" s="5"/>
      <c r="G172" s="45">
        <f>G173+G185</f>
        <v>17011.099999999999</v>
      </c>
      <c r="H172" s="45">
        <f>H173</f>
        <v>14966.1</v>
      </c>
      <c r="I172" s="45">
        <f t="shared" si="9"/>
        <v>15789.235499999999</v>
      </c>
      <c r="J172" s="45">
        <f t="shared" si="10"/>
        <v>16578.697274999999</v>
      </c>
    </row>
    <row r="173" spans="1:10">
      <c r="A173" s="7" t="s">
        <v>9</v>
      </c>
      <c r="B173" s="61"/>
      <c r="C173" s="6" t="s">
        <v>10</v>
      </c>
      <c r="D173" s="62"/>
      <c r="E173" s="62"/>
      <c r="F173" s="62"/>
      <c r="G173" s="46">
        <f>G174</f>
        <v>15311.1</v>
      </c>
      <c r="H173" s="46">
        <f>H174</f>
        <v>14966.1</v>
      </c>
      <c r="I173" s="46">
        <f t="shared" si="9"/>
        <v>15789.235499999999</v>
      </c>
      <c r="J173" s="46">
        <f t="shared" si="10"/>
        <v>16578.697274999999</v>
      </c>
    </row>
    <row r="174" spans="1:10">
      <c r="A174" s="7" t="s">
        <v>28</v>
      </c>
      <c r="B174" s="61"/>
      <c r="C174" s="8" t="s">
        <v>10</v>
      </c>
      <c r="D174" s="6" t="s">
        <v>154</v>
      </c>
      <c r="E174" s="6"/>
      <c r="F174" s="6"/>
      <c r="G174" s="46">
        <f>G175</f>
        <v>15311.1</v>
      </c>
      <c r="H174" s="46">
        <f>H175</f>
        <v>14966.1</v>
      </c>
      <c r="I174" s="46">
        <f t="shared" si="9"/>
        <v>15789.235499999999</v>
      </c>
      <c r="J174" s="46">
        <f t="shared" si="10"/>
        <v>16578.697274999999</v>
      </c>
    </row>
    <row r="175" spans="1:10" ht="51">
      <c r="A175" s="7" t="s">
        <v>109</v>
      </c>
      <c r="B175" s="61"/>
      <c r="C175" s="8" t="s">
        <v>10</v>
      </c>
      <c r="D175" s="6" t="s">
        <v>154</v>
      </c>
      <c r="E175" s="6" t="s">
        <v>14</v>
      </c>
      <c r="F175" s="6"/>
      <c r="G175" s="46">
        <f>G176</f>
        <v>15311.1</v>
      </c>
      <c r="H175" s="46">
        <f>H176</f>
        <v>14966.1</v>
      </c>
      <c r="I175" s="46">
        <f t="shared" si="9"/>
        <v>15789.235499999999</v>
      </c>
      <c r="J175" s="46">
        <f t="shared" si="10"/>
        <v>16578.697274999999</v>
      </c>
    </row>
    <row r="176" spans="1:10">
      <c r="A176" s="7" t="s">
        <v>15</v>
      </c>
      <c r="B176" s="61"/>
      <c r="C176" s="8" t="s">
        <v>10</v>
      </c>
      <c r="D176" s="6" t="s">
        <v>154</v>
      </c>
      <c r="E176" s="6" t="s">
        <v>16</v>
      </c>
      <c r="F176" s="6"/>
      <c r="G176" s="46">
        <f>G177</f>
        <v>15311.1</v>
      </c>
      <c r="H176" s="46">
        <f>H177</f>
        <v>14966.1</v>
      </c>
      <c r="I176" s="46">
        <f t="shared" si="9"/>
        <v>15789.235499999999</v>
      </c>
      <c r="J176" s="46">
        <f t="shared" si="10"/>
        <v>16578.697274999999</v>
      </c>
    </row>
    <row r="177" spans="1:10">
      <c r="A177" s="7" t="s">
        <v>15</v>
      </c>
      <c r="B177" s="61"/>
      <c r="C177" s="8" t="s">
        <v>10</v>
      </c>
      <c r="D177" s="6" t="s">
        <v>154</v>
      </c>
      <c r="E177" s="6" t="s">
        <v>17</v>
      </c>
      <c r="F177" s="6"/>
      <c r="G177" s="46">
        <f>SUM(G178:G184)</f>
        <v>15311.1</v>
      </c>
      <c r="H177" s="46">
        <f>SUM(H178:H187)</f>
        <v>14966.1</v>
      </c>
      <c r="I177" s="46">
        <f t="shared" si="9"/>
        <v>15789.235499999999</v>
      </c>
      <c r="J177" s="46">
        <f t="shared" si="10"/>
        <v>16578.697274999999</v>
      </c>
    </row>
    <row r="178" spans="1:10">
      <c r="A178" s="7" t="s">
        <v>209</v>
      </c>
      <c r="B178" s="61"/>
      <c r="C178" s="8" t="s">
        <v>10</v>
      </c>
      <c r="D178" s="6" t="s">
        <v>154</v>
      </c>
      <c r="E178" s="6" t="s">
        <v>17</v>
      </c>
      <c r="F178" s="6" t="s">
        <v>171</v>
      </c>
      <c r="G178" s="46">
        <v>13269.5</v>
      </c>
      <c r="H178" s="46">
        <v>12906.2</v>
      </c>
      <c r="I178" s="46">
        <f t="shared" si="9"/>
        <v>13616.040999999999</v>
      </c>
      <c r="J178" s="46">
        <f t="shared" si="10"/>
        <v>14296.843049999999</v>
      </c>
    </row>
    <row r="179" spans="1:10" ht="25.5">
      <c r="A179" s="7" t="s">
        <v>221</v>
      </c>
      <c r="B179" s="61"/>
      <c r="C179" s="8" t="s">
        <v>10</v>
      </c>
      <c r="D179" s="6" t="s">
        <v>154</v>
      </c>
      <c r="E179" s="6" t="s">
        <v>17</v>
      </c>
      <c r="F179" s="6" t="s">
        <v>220</v>
      </c>
      <c r="G179" s="46">
        <v>30</v>
      </c>
      <c r="H179" s="46">
        <f>20+50</f>
        <v>70</v>
      </c>
      <c r="I179" s="46">
        <f t="shared" si="9"/>
        <v>73.849999999999994</v>
      </c>
      <c r="J179" s="46">
        <f t="shared" si="10"/>
        <v>77.542500000000004</v>
      </c>
    </row>
    <row r="180" spans="1:10" ht="25.5">
      <c r="A180" s="7" t="s">
        <v>205</v>
      </c>
      <c r="B180" s="61"/>
      <c r="C180" s="8" t="s">
        <v>10</v>
      </c>
      <c r="D180" s="6" t="s">
        <v>154</v>
      </c>
      <c r="E180" s="6" t="s">
        <v>17</v>
      </c>
      <c r="F180" s="6" t="s">
        <v>204</v>
      </c>
      <c r="G180" s="46">
        <v>475</v>
      </c>
      <c r="H180" s="46">
        <f>222.3+309.7+55+70</f>
        <v>657</v>
      </c>
      <c r="I180" s="46">
        <f t="shared" si="9"/>
        <v>693.13499999999999</v>
      </c>
      <c r="J180" s="46">
        <f t="shared" si="10"/>
        <v>727.79174999999998</v>
      </c>
    </row>
    <row r="181" spans="1:10" ht="38.25">
      <c r="A181" s="7" t="s">
        <v>210</v>
      </c>
      <c r="B181" s="61"/>
      <c r="C181" s="8" t="s">
        <v>10</v>
      </c>
      <c r="D181" s="6" t="s">
        <v>154</v>
      </c>
      <c r="E181" s="6" t="s">
        <v>17</v>
      </c>
      <c r="F181" s="6" t="s">
        <v>175</v>
      </c>
      <c r="G181" s="73">
        <v>65</v>
      </c>
      <c r="H181" s="46">
        <f>24+60</f>
        <v>84</v>
      </c>
      <c r="I181" s="46">
        <f t="shared" si="9"/>
        <v>88.61999999999999</v>
      </c>
      <c r="J181" s="46">
        <f t="shared" si="10"/>
        <v>93.050999999999988</v>
      </c>
    </row>
    <row r="182" spans="1:10" ht="25.5">
      <c r="A182" s="7" t="s">
        <v>207</v>
      </c>
      <c r="B182" s="61"/>
      <c r="C182" s="8" t="s">
        <v>10</v>
      </c>
      <c r="D182" s="6" t="s">
        <v>154</v>
      </c>
      <c r="E182" s="6" t="s">
        <v>17</v>
      </c>
      <c r="F182" s="6" t="s">
        <v>168</v>
      </c>
      <c r="G182" s="46">
        <v>937.5</v>
      </c>
      <c r="H182" s="46">
        <f>204+14.6+27+15+30+200+249.2+288</f>
        <v>1027.8</v>
      </c>
      <c r="I182" s="46">
        <f t="shared" si="9"/>
        <v>1084.329</v>
      </c>
      <c r="J182" s="46">
        <f t="shared" si="10"/>
        <v>1138.5454500000001</v>
      </c>
    </row>
    <row r="183" spans="1:10" ht="25.5">
      <c r="A183" s="7" t="s">
        <v>372</v>
      </c>
      <c r="B183" s="61"/>
      <c r="C183" s="8" t="s">
        <v>10</v>
      </c>
      <c r="D183" s="6" t="s">
        <v>154</v>
      </c>
      <c r="E183" s="6" t="s">
        <v>17</v>
      </c>
      <c r="F183" s="6" t="s">
        <v>189</v>
      </c>
      <c r="G183" s="46"/>
      <c r="H183" s="46">
        <v>8.1</v>
      </c>
      <c r="I183" s="46">
        <f t="shared" si="9"/>
        <v>8.5454999999999988</v>
      </c>
      <c r="J183" s="46">
        <f t="shared" si="10"/>
        <v>8.9727749999999986</v>
      </c>
    </row>
    <row r="184" spans="1:10">
      <c r="A184" s="7" t="s">
        <v>206</v>
      </c>
      <c r="B184" s="61"/>
      <c r="C184" s="8" t="s">
        <v>10</v>
      </c>
      <c r="D184" s="6" t="s">
        <v>154</v>
      </c>
      <c r="E184" s="6" t="s">
        <v>17</v>
      </c>
      <c r="F184" s="6" t="s">
        <v>192</v>
      </c>
      <c r="G184" s="46">
        <v>534.1</v>
      </c>
      <c r="H184" s="46">
        <v>213</v>
      </c>
      <c r="I184" s="46">
        <f t="shared" si="9"/>
        <v>224.71499999999997</v>
      </c>
      <c r="J184" s="46">
        <f t="shared" si="10"/>
        <v>235.95074999999997</v>
      </c>
    </row>
    <row r="185" spans="1:10">
      <c r="A185" s="7" t="s">
        <v>39</v>
      </c>
      <c r="B185" s="61"/>
      <c r="C185" s="8" t="s">
        <v>19</v>
      </c>
      <c r="D185" s="6"/>
      <c r="E185" s="6"/>
      <c r="F185" s="6"/>
      <c r="G185" s="46">
        <f>G186</f>
        <v>1700</v>
      </c>
      <c r="H185" s="46"/>
      <c r="I185" s="46"/>
      <c r="J185" s="46"/>
    </row>
    <row r="186" spans="1:10" ht="25.5">
      <c r="A186" s="7" t="s">
        <v>287</v>
      </c>
      <c r="B186" s="61"/>
      <c r="C186" s="8" t="s">
        <v>19</v>
      </c>
      <c r="D186" s="6" t="s">
        <v>24</v>
      </c>
      <c r="E186" s="6" t="s">
        <v>286</v>
      </c>
      <c r="F186" s="6"/>
      <c r="G186" s="46">
        <f>G187</f>
        <v>1700</v>
      </c>
      <c r="H186" s="46">
        <v>0</v>
      </c>
      <c r="I186" s="46">
        <f t="shared" si="9"/>
        <v>0</v>
      </c>
      <c r="J186" s="46">
        <f t="shared" si="10"/>
        <v>0</v>
      </c>
    </row>
    <row r="187" spans="1:10" ht="25.5">
      <c r="A187" s="7" t="s">
        <v>207</v>
      </c>
      <c r="B187" s="61"/>
      <c r="C187" s="8" t="s">
        <v>19</v>
      </c>
      <c r="D187" s="6" t="s">
        <v>24</v>
      </c>
      <c r="E187" s="6" t="s">
        <v>286</v>
      </c>
      <c r="F187" s="6" t="s">
        <v>168</v>
      </c>
      <c r="G187" s="46">
        <v>1700</v>
      </c>
      <c r="H187" s="46">
        <v>0</v>
      </c>
      <c r="I187" s="46">
        <f t="shared" si="9"/>
        <v>0</v>
      </c>
      <c r="J187" s="46">
        <f t="shared" si="10"/>
        <v>0</v>
      </c>
    </row>
    <row r="188" spans="1:10" ht="38.25">
      <c r="A188" s="1" t="s">
        <v>379</v>
      </c>
      <c r="B188" s="67">
        <v>857</v>
      </c>
      <c r="C188" s="5"/>
      <c r="D188" s="5"/>
      <c r="E188" s="5"/>
      <c r="F188" s="5"/>
      <c r="G188" s="45">
        <f>G189+G201+G239</f>
        <v>258021.1</v>
      </c>
      <c r="H188" s="45">
        <f>H189+H201+H239</f>
        <v>219597.30000000002</v>
      </c>
      <c r="I188" s="45">
        <v>191536.3</v>
      </c>
      <c r="J188" s="45">
        <v>201888.1</v>
      </c>
    </row>
    <row r="189" spans="1:10" ht="16.5" customHeight="1">
      <c r="A189" s="7" t="s">
        <v>63</v>
      </c>
      <c r="B189" s="61"/>
      <c r="C189" s="6" t="s">
        <v>64</v>
      </c>
      <c r="D189" s="6"/>
      <c r="E189" s="6"/>
      <c r="F189" s="6"/>
      <c r="G189" s="46">
        <f t="shared" ref="G189:H191" si="11">G190</f>
        <v>71940.7</v>
      </c>
      <c r="H189" s="46">
        <f t="shared" si="11"/>
        <v>75289.5</v>
      </c>
      <c r="I189" s="46">
        <f t="shared" si="9"/>
        <v>79430.422500000001</v>
      </c>
      <c r="J189" s="46">
        <f t="shared" si="10"/>
        <v>83401.943625</v>
      </c>
    </row>
    <row r="190" spans="1:10" ht="15" customHeight="1">
      <c r="A190" s="7" t="s">
        <v>65</v>
      </c>
      <c r="B190" s="61"/>
      <c r="C190" s="6" t="s">
        <v>116</v>
      </c>
      <c r="D190" s="6" t="s">
        <v>50</v>
      </c>
      <c r="E190" s="6"/>
      <c r="F190" s="6"/>
      <c r="G190" s="46">
        <f t="shared" si="11"/>
        <v>71940.7</v>
      </c>
      <c r="H190" s="46">
        <f t="shared" si="11"/>
        <v>75289.5</v>
      </c>
      <c r="I190" s="46">
        <f t="shared" si="9"/>
        <v>79430.422500000001</v>
      </c>
      <c r="J190" s="46">
        <f t="shared" si="10"/>
        <v>83401.943625</v>
      </c>
    </row>
    <row r="191" spans="1:10" ht="15.75" customHeight="1">
      <c r="A191" s="7" t="s">
        <v>70</v>
      </c>
      <c r="B191" s="61"/>
      <c r="C191" s="6" t="s">
        <v>64</v>
      </c>
      <c r="D191" s="6" t="s">
        <v>50</v>
      </c>
      <c r="E191" s="6" t="s">
        <v>71</v>
      </c>
      <c r="F191" s="6"/>
      <c r="G191" s="46">
        <f t="shared" si="11"/>
        <v>71940.7</v>
      </c>
      <c r="H191" s="46">
        <f t="shared" si="11"/>
        <v>75289.5</v>
      </c>
      <c r="I191" s="46">
        <f t="shared" si="9"/>
        <v>79430.422500000001</v>
      </c>
      <c r="J191" s="46">
        <f t="shared" si="10"/>
        <v>83401.943625</v>
      </c>
    </row>
    <row r="192" spans="1:10" ht="25.5">
      <c r="A192" s="7" t="s">
        <v>117</v>
      </c>
      <c r="B192" s="61"/>
      <c r="C192" s="6" t="s">
        <v>64</v>
      </c>
      <c r="D192" s="6" t="s">
        <v>50</v>
      </c>
      <c r="E192" s="6" t="s">
        <v>72</v>
      </c>
      <c r="F192" s="6"/>
      <c r="G192" s="46">
        <f>SUM(G193:G200)</f>
        <v>71940.7</v>
      </c>
      <c r="H192" s="46">
        <f>SUM(H193:H199)</f>
        <v>75289.5</v>
      </c>
      <c r="I192" s="46">
        <f t="shared" si="9"/>
        <v>79430.422500000001</v>
      </c>
      <c r="J192" s="46">
        <f t="shared" si="10"/>
        <v>83401.943625</v>
      </c>
    </row>
    <row r="193" spans="1:10" ht="18.75" customHeight="1">
      <c r="A193" s="7" t="s">
        <v>209</v>
      </c>
      <c r="B193" s="61"/>
      <c r="C193" s="6" t="s">
        <v>64</v>
      </c>
      <c r="D193" s="6" t="s">
        <v>50</v>
      </c>
      <c r="E193" s="6" t="s">
        <v>72</v>
      </c>
      <c r="F193" s="6" t="s">
        <v>171</v>
      </c>
      <c r="G193" s="46">
        <v>52636.5</v>
      </c>
      <c r="H193" s="46">
        <v>70698.3</v>
      </c>
      <c r="I193" s="46">
        <f t="shared" si="9"/>
        <v>74586.7065</v>
      </c>
      <c r="J193" s="46">
        <f t="shared" si="10"/>
        <v>78316.041825000008</v>
      </c>
    </row>
    <row r="194" spans="1:10" ht="25.5">
      <c r="A194" s="7" t="s">
        <v>221</v>
      </c>
      <c r="B194" s="61"/>
      <c r="C194" s="6" t="s">
        <v>64</v>
      </c>
      <c r="D194" s="6" t="s">
        <v>50</v>
      </c>
      <c r="E194" s="6" t="s">
        <v>72</v>
      </c>
      <c r="F194" s="6" t="s">
        <v>220</v>
      </c>
      <c r="G194" s="46">
        <v>311.5</v>
      </c>
      <c r="H194" s="46">
        <v>369</v>
      </c>
      <c r="I194" s="46">
        <f t="shared" si="9"/>
        <v>389.29499999999996</v>
      </c>
      <c r="J194" s="46">
        <f t="shared" si="10"/>
        <v>408.75975</v>
      </c>
    </row>
    <row r="195" spans="1:10" ht="25.5">
      <c r="A195" s="7" t="s">
        <v>205</v>
      </c>
      <c r="B195" s="61"/>
      <c r="C195" s="6" t="s">
        <v>64</v>
      </c>
      <c r="D195" s="6" t="s">
        <v>50</v>
      </c>
      <c r="E195" s="6" t="s">
        <v>72</v>
      </c>
      <c r="F195" s="6" t="s">
        <v>204</v>
      </c>
      <c r="G195" s="46">
        <v>312.60000000000002</v>
      </c>
      <c r="H195" s="46">
        <v>373.6</v>
      </c>
      <c r="I195" s="46">
        <f t="shared" si="9"/>
        <v>394.14800000000002</v>
      </c>
      <c r="J195" s="46">
        <f t="shared" si="10"/>
        <v>413.85540000000003</v>
      </c>
    </row>
    <row r="196" spans="1:10" ht="38.25">
      <c r="A196" s="7" t="s">
        <v>210</v>
      </c>
      <c r="B196" s="61"/>
      <c r="C196" s="6" t="s">
        <v>64</v>
      </c>
      <c r="D196" s="6" t="s">
        <v>50</v>
      </c>
      <c r="E196" s="6" t="s">
        <v>72</v>
      </c>
      <c r="F196" s="6" t="s">
        <v>175</v>
      </c>
      <c r="G196" s="46">
        <v>667.6</v>
      </c>
      <c r="H196" s="46">
        <f>150+579</f>
        <v>729</v>
      </c>
      <c r="I196" s="46">
        <f t="shared" si="9"/>
        <v>769.09499999999991</v>
      </c>
      <c r="J196" s="46">
        <f t="shared" si="10"/>
        <v>807.5497499999999</v>
      </c>
    </row>
    <row r="197" spans="1:10" ht="25.5">
      <c r="A197" s="7" t="s">
        <v>207</v>
      </c>
      <c r="B197" s="61"/>
      <c r="C197" s="6" t="s">
        <v>64</v>
      </c>
      <c r="D197" s="6" t="s">
        <v>50</v>
      </c>
      <c r="E197" s="6" t="s">
        <v>72</v>
      </c>
      <c r="F197" s="6" t="s">
        <v>168</v>
      </c>
      <c r="G197" s="46">
        <v>2258.3000000000002</v>
      </c>
      <c r="H197" s="46">
        <v>2962.4</v>
      </c>
      <c r="I197" s="46">
        <f t="shared" si="9"/>
        <v>3125.3319999999999</v>
      </c>
      <c r="J197" s="46">
        <f t="shared" si="10"/>
        <v>3281.5985999999998</v>
      </c>
    </row>
    <row r="198" spans="1:10" ht="51">
      <c r="A198" s="7" t="s">
        <v>343</v>
      </c>
      <c r="B198" s="61"/>
      <c r="C198" s="6" t="s">
        <v>64</v>
      </c>
      <c r="D198" s="6" t="s">
        <v>50</v>
      </c>
      <c r="E198" s="6" t="s">
        <v>72</v>
      </c>
      <c r="F198" s="6" t="s">
        <v>180</v>
      </c>
      <c r="G198" s="46">
        <v>15640.1</v>
      </c>
      <c r="H198" s="46">
        <v>0</v>
      </c>
      <c r="I198" s="46">
        <f>H198*105.5%</f>
        <v>0</v>
      </c>
      <c r="J198" s="46">
        <f>I198*105%</f>
        <v>0</v>
      </c>
    </row>
    <row r="199" spans="1:10" ht="25.5">
      <c r="A199" s="7" t="s">
        <v>372</v>
      </c>
      <c r="B199" s="61"/>
      <c r="C199" s="6" t="s">
        <v>64</v>
      </c>
      <c r="D199" s="6" t="s">
        <v>50</v>
      </c>
      <c r="E199" s="6" t="s">
        <v>72</v>
      </c>
      <c r="F199" s="6" t="s">
        <v>189</v>
      </c>
      <c r="G199" s="46">
        <v>76.2</v>
      </c>
      <c r="H199" s="46">
        <v>157.19999999999999</v>
      </c>
      <c r="I199" s="46">
        <f t="shared" si="9"/>
        <v>165.84599999999998</v>
      </c>
      <c r="J199" s="46">
        <f t="shared" si="10"/>
        <v>174.13829999999999</v>
      </c>
    </row>
    <row r="200" spans="1:10" ht="18" customHeight="1">
      <c r="A200" s="7" t="s">
        <v>206</v>
      </c>
      <c r="B200" s="61"/>
      <c r="C200" s="6" t="s">
        <v>64</v>
      </c>
      <c r="D200" s="6" t="s">
        <v>50</v>
      </c>
      <c r="E200" s="6" t="s">
        <v>72</v>
      </c>
      <c r="F200" s="6" t="s">
        <v>192</v>
      </c>
      <c r="G200" s="46">
        <v>37.9</v>
      </c>
      <c r="H200" s="46">
        <v>0</v>
      </c>
      <c r="I200" s="46">
        <f t="shared" si="9"/>
        <v>0</v>
      </c>
      <c r="J200" s="46">
        <v>0</v>
      </c>
    </row>
    <row r="201" spans="1:10" ht="16.5" customHeight="1">
      <c r="A201" s="7" t="s">
        <v>143</v>
      </c>
      <c r="B201" s="61"/>
      <c r="C201" s="6" t="s">
        <v>81</v>
      </c>
      <c r="D201" s="6"/>
      <c r="E201" s="46"/>
      <c r="F201" s="6"/>
      <c r="G201" s="46">
        <f>G202+G232</f>
        <v>180126.50000000003</v>
      </c>
      <c r="H201" s="46">
        <f>H202+H232</f>
        <v>137042.20000000001</v>
      </c>
      <c r="I201" s="46">
        <f>I202+I232</f>
        <v>121320.46649999998</v>
      </c>
      <c r="J201" s="46">
        <f>J202+J232</f>
        <v>128161.489825</v>
      </c>
    </row>
    <row r="202" spans="1:10" ht="16.5" customHeight="1">
      <c r="A202" s="7" t="s">
        <v>82</v>
      </c>
      <c r="B202" s="61"/>
      <c r="C202" s="6" t="s">
        <v>81</v>
      </c>
      <c r="D202" s="6" t="s">
        <v>10</v>
      </c>
      <c r="E202" s="46"/>
      <c r="F202" s="6"/>
      <c r="G202" s="46">
        <f>G203+G212+G227</f>
        <v>171486.80000000002</v>
      </c>
      <c r="H202" s="46">
        <f>H203+H212+H227</f>
        <v>130987</v>
      </c>
      <c r="I202" s="46">
        <f>I203+I212+I227</f>
        <v>114932.23049999998</v>
      </c>
      <c r="J202" s="46">
        <f>J203+J212+J227</f>
        <v>121453.84202499999</v>
      </c>
    </row>
    <row r="203" spans="1:10" ht="38.25">
      <c r="A203" s="70" t="s">
        <v>182</v>
      </c>
      <c r="B203" s="61"/>
      <c r="C203" s="6" t="s">
        <v>81</v>
      </c>
      <c r="D203" s="6" t="s">
        <v>10</v>
      </c>
      <c r="E203" s="6" t="s">
        <v>153</v>
      </c>
      <c r="F203" s="6"/>
      <c r="G203" s="46">
        <f>G204+G205+G206</f>
        <v>43124</v>
      </c>
      <c r="H203" s="46">
        <f>SUM(H204:H205)</f>
        <v>26311.9</v>
      </c>
      <c r="I203" s="46">
        <f>I204+I205+I206</f>
        <v>4500</v>
      </c>
      <c r="J203" s="46">
        <f>J204+J205+J206</f>
        <v>5500</v>
      </c>
    </row>
    <row r="204" spans="1:10" ht="38.25">
      <c r="A204" s="7" t="s">
        <v>210</v>
      </c>
      <c r="B204" s="61"/>
      <c r="C204" s="6" t="s">
        <v>81</v>
      </c>
      <c r="D204" s="6" t="s">
        <v>10</v>
      </c>
      <c r="E204" s="6" t="s">
        <v>153</v>
      </c>
      <c r="F204" s="6" t="s">
        <v>175</v>
      </c>
      <c r="G204" s="46">
        <v>32924</v>
      </c>
      <c r="H204" s="46">
        <v>24311.9</v>
      </c>
      <c r="I204" s="46"/>
      <c r="J204" s="46">
        <f t="shared" si="10"/>
        <v>0</v>
      </c>
    </row>
    <row r="205" spans="1:10" ht="25.5">
      <c r="A205" s="7" t="s">
        <v>207</v>
      </c>
      <c r="B205" s="61"/>
      <c r="C205" s="6" t="s">
        <v>81</v>
      </c>
      <c r="D205" s="6" t="s">
        <v>10</v>
      </c>
      <c r="E205" s="6" t="s">
        <v>153</v>
      </c>
      <c r="F205" s="6" t="s">
        <v>168</v>
      </c>
      <c r="G205" s="46">
        <v>200</v>
      </c>
      <c r="H205" s="46">
        <v>2000</v>
      </c>
      <c r="I205" s="46">
        <v>4500</v>
      </c>
      <c r="J205" s="46">
        <v>5500</v>
      </c>
    </row>
    <row r="206" spans="1:10" ht="38.25">
      <c r="A206" s="7" t="s">
        <v>212</v>
      </c>
      <c r="B206" s="61"/>
      <c r="C206" s="6" t="s">
        <v>81</v>
      </c>
      <c r="D206" s="6" t="s">
        <v>10</v>
      </c>
      <c r="E206" s="6" t="s">
        <v>344</v>
      </c>
      <c r="F206" s="6" t="s">
        <v>184</v>
      </c>
      <c r="G206" s="46">
        <v>10000</v>
      </c>
      <c r="H206" s="46">
        <v>0</v>
      </c>
      <c r="I206" s="46">
        <f t="shared" si="9"/>
        <v>0</v>
      </c>
      <c r="J206" s="46">
        <f t="shared" si="10"/>
        <v>0</v>
      </c>
    </row>
    <row r="207" spans="1:10" ht="38.25" hidden="1">
      <c r="A207" s="7" t="s">
        <v>231</v>
      </c>
      <c r="B207" s="61"/>
      <c r="C207" s="6" t="s">
        <v>81</v>
      </c>
      <c r="D207" s="6" t="s">
        <v>10</v>
      </c>
      <c r="E207" s="6" t="s">
        <v>345</v>
      </c>
      <c r="F207" s="6"/>
      <c r="G207" s="46"/>
      <c r="H207" s="46"/>
      <c r="I207" s="46">
        <f t="shared" si="9"/>
        <v>0</v>
      </c>
      <c r="J207" s="46">
        <f t="shared" si="10"/>
        <v>0</v>
      </c>
    </row>
    <row r="208" spans="1:10" ht="25.5" hidden="1">
      <c r="A208" s="7" t="s">
        <v>207</v>
      </c>
      <c r="B208" s="61"/>
      <c r="C208" s="6" t="s">
        <v>81</v>
      </c>
      <c r="D208" s="6" t="s">
        <v>10</v>
      </c>
      <c r="E208" s="6" t="s">
        <v>346</v>
      </c>
      <c r="F208" s="6" t="s">
        <v>168</v>
      </c>
      <c r="G208" s="46"/>
      <c r="H208" s="46"/>
      <c r="I208" s="46">
        <f t="shared" si="9"/>
        <v>0</v>
      </c>
      <c r="J208" s="46">
        <f t="shared" si="10"/>
        <v>0</v>
      </c>
    </row>
    <row r="209" spans="1:10" hidden="1">
      <c r="A209" s="7"/>
      <c r="B209" s="61"/>
      <c r="C209" s="6" t="s">
        <v>81</v>
      </c>
      <c r="D209" s="6" t="s">
        <v>10</v>
      </c>
      <c r="E209" s="6" t="s">
        <v>347</v>
      </c>
      <c r="F209" s="6"/>
      <c r="G209" s="46"/>
      <c r="H209" s="46"/>
      <c r="I209" s="46"/>
      <c r="J209" s="46"/>
    </row>
    <row r="210" spans="1:10" ht="38.25" hidden="1">
      <c r="A210" s="7" t="s">
        <v>348</v>
      </c>
      <c r="B210" s="61"/>
      <c r="C210" s="6" t="s">
        <v>81</v>
      </c>
      <c r="D210" s="6" t="s">
        <v>10</v>
      </c>
      <c r="E210" s="6"/>
      <c r="F210" s="6"/>
      <c r="G210" s="46"/>
      <c r="H210" s="46"/>
      <c r="I210" s="46"/>
      <c r="J210" s="46"/>
    </row>
    <row r="211" spans="1:10" ht="25.5" hidden="1">
      <c r="A211" s="7" t="s">
        <v>117</v>
      </c>
      <c r="B211" s="61"/>
      <c r="C211" s="6" t="s">
        <v>81</v>
      </c>
      <c r="D211" s="6" t="s">
        <v>10</v>
      </c>
      <c r="E211" s="6" t="s">
        <v>349</v>
      </c>
      <c r="F211" s="6" t="s">
        <v>168</v>
      </c>
      <c r="G211" s="46"/>
      <c r="H211" s="46"/>
      <c r="I211" s="46"/>
      <c r="J211" s="46"/>
    </row>
    <row r="212" spans="1:10" ht="25.5">
      <c r="A212" s="7" t="s">
        <v>36</v>
      </c>
      <c r="B212" s="61"/>
      <c r="C212" s="6" t="s">
        <v>81</v>
      </c>
      <c r="D212" s="6" t="s">
        <v>10</v>
      </c>
      <c r="E212" s="6" t="s">
        <v>83</v>
      </c>
      <c r="F212" s="6"/>
      <c r="G212" s="46">
        <f>SUM(G213:G226)</f>
        <v>108202.80000000002</v>
      </c>
      <c r="H212" s="46">
        <f>SUM(H213:H224)</f>
        <v>87419.599999999991</v>
      </c>
      <c r="I212" s="46">
        <f t="shared" si="9"/>
        <v>92227.677999999985</v>
      </c>
      <c r="J212" s="46">
        <f t="shared" si="10"/>
        <v>96839.061899999986</v>
      </c>
    </row>
    <row r="213" spans="1:10" ht="25.5">
      <c r="A213" s="7" t="s">
        <v>169</v>
      </c>
      <c r="B213" s="61"/>
      <c r="C213" s="6" t="s">
        <v>81</v>
      </c>
      <c r="D213" s="6" t="s">
        <v>10</v>
      </c>
      <c r="E213" s="6" t="s">
        <v>83</v>
      </c>
      <c r="F213" s="6" t="s">
        <v>171</v>
      </c>
      <c r="G213" s="46">
        <v>17749.900000000001</v>
      </c>
      <c r="H213" s="46">
        <v>17575.599999999999</v>
      </c>
      <c r="I213" s="46">
        <f t="shared" si="9"/>
        <v>18542.257999999998</v>
      </c>
      <c r="J213" s="46">
        <f t="shared" si="10"/>
        <v>19469.370899999998</v>
      </c>
    </row>
    <row r="214" spans="1:10" ht="25.5">
      <c r="A214" s="7" t="s">
        <v>221</v>
      </c>
      <c r="B214" s="61"/>
      <c r="C214" s="6" t="s">
        <v>81</v>
      </c>
      <c r="D214" s="6" t="s">
        <v>10</v>
      </c>
      <c r="E214" s="6" t="s">
        <v>83</v>
      </c>
      <c r="F214" s="6" t="s">
        <v>220</v>
      </c>
      <c r="G214" s="46"/>
      <c r="H214" s="46"/>
      <c r="I214" s="46">
        <f t="shared" si="9"/>
        <v>0</v>
      </c>
      <c r="J214" s="46">
        <f t="shared" si="10"/>
        <v>0</v>
      </c>
    </row>
    <row r="215" spans="1:10" ht="25.5">
      <c r="A215" s="7" t="s">
        <v>221</v>
      </c>
      <c r="B215" s="61"/>
      <c r="C215" s="6" t="s">
        <v>81</v>
      </c>
      <c r="D215" s="6" t="s">
        <v>10</v>
      </c>
      <c r="E215" s="6" t="s">
        <v>83</v>
      </c>
      <c r="F215" s="6" t="s">
        <v>220</v>
      </c>
      <c r="G215" s="46">
        <v>25.3</v>
      </c>
      <c r="H215" s="46">
        <v>160</v>
      </c>
      <c r="I215" s="46">
        <f t="shared" si="9"/>
        <v>168.79999999999998</v>
      </c>
      <c r="J215" s="46">
        <f t="shared" si="10"/>
        <v>177.23999999999998</v>
      </c>
    </row>
    <row r="216" spans="1:10" ht="25.5">
      <c r="A216" s="7" t="s">
        <v>205</v>
      </c>
      <c r="B216" s="61"/>
      <c r="C216" s="6" t="s">
        <v>81</v>
      </c>
      <c r="D216" s="6" t="s">
        <v>10</v>
      </c>
      <c r="E216" s="6" t="s">
        <v>83</v>
      </c>
      <c r="F216" s="6" t="s">
        <v>204</v>
      </c>
      <c r="G216" s="46">
        <v>239.4</v>
      </c>
      <c r="H216" s="46">
        <f>23+210</f>
        <v>233</v>
      </c>
      <c r="I216" s="46">
        <f t="shared" ref="I216:I288" si="12">H216*105.5%</f>
        <v>245.815</v>
      </c>
      <c r="J216" s="46">
        <f t="shared" ref="J216:J288" si="13">I216*105%</f>
        <v>258.10575</v>
      </c>
    </row>
    <row r="217" spans="1:10" ht="38.25">
      <c r="A217" s="7" t="s">
        <v>210</v>
      </c>
      <c r="B217" s="61"/>
      <c r="C217" s="6" t="s">
        <v>81</v>
      </c>
      <c r="D217" s="6" t="s">
        <v>10</v>
      </c>
      <c r="E217" s="6" t="s">
        <v>83</v>
      </c>
      <c r="F217" s="6" t="s">
        <v>175</v>
      </c>
      <c r="G217" s="46"/>
      <c r="H217" s="46"/>
      <c r="I217" s="46">
        <f t="shared" si="12"/>
        <v>0</v>
      </c>
      <c r="J217" s="46">
        <f t="shared" si="13"/>
        <v>0</v>
      </c>
    </row>
    <row r="218" spans="1:10" ht="38.25">
      <c r="A218" s="7" t="s">
        <v>210</v>
      </c>
      <c r="B218" s="61"/>
      <c r="C218" s="6" t="s">
        <v>81</v>
      </c>
      <c r="D218" s="6" t="s">
        <v>10</v>
      </c>
      <c r="E218" s="6" t="s">
        <v>83</v>
      </c>
      <c r="F218" s="6" t="s">
        <v>175</v>
      </c>
      <c r="G218" s="46">
        <v>3.6</v>
      </c>
      <c r="H218" s="46">
        <v>260</v>
      </c>
      <c r="I218" s="46">
        <f t="shared" si="12"/>
        <v>274.3</v>
      </c>
      <c r="J218" s="46">
        <f t="shared" si="13"/>
        <v>288.01500000000004</v>
      </c>
    </row>
    <row r="219" spans="1:10" ht="25.5">
      <c r="A219" s="7" t="s">
        <v>207</v>
      </c>
      <c r="B219" s="61"/>
      <c r="C219" s="6" t="s">
        <v>81</v>
      </c>
      <c r="D219" s="6" t="s">
        <v>10</v>
      </c>
      <c r="E219" s="6" t="s">
        <v>83</v>
      </c>
      <c r="F219" s="6" t="s">
        <v>168</v>
      </c>
      <c r="G219" s="46">
        <v>17862.599999999999</v>
      </c>
      <c r="H219" s="46">
        <v>11533.8</v>
      </c>
      <c r="I219" s="46">
        <f t="shared" si="12"/>
        <v>12168.158999999998</v>
      </c>
      <c r="J219" s="46">
        <f t="shared" si="13"/>
        <v>12776.566949999999</v>
      </c>
    </row>
    <row r="220" spans="1:10" ht="38.25">
      <c r="A220" s="7" t="s">
        <v>212</v>
      </c>
      <c r="B220" s="61"/>
      <c r="C220" s="6" t="s">
        <v>81</v>
      </c>
      <c r="D220" s="6" t="s">
        <v>10</v>
      </c>
      <c r="E220" s="6" t="s">
        <v>83</v>
      </c>
      <c r="F220" s="6" t="s">
        <v>184</v>
      </c>
      <c r="G220" s="46">
        <v>32000</v>
      </c>
      <c r="H220" s="46">
        <v>0</v>
      </c>
      <c r="I220" s="46">
        <v>0</v>
      </c>
      <c r="J220" s="46">
        <v>0</v>
      </c>
    </row>
    <row r="221" spans="1:10" ht="63.75">
      <c r="A221" s="7" t="s">
        <v>224</v>
      </c>
      <c r="B221" s="61"/>
      <c r="C221" s="6" t="s">
        <v>81</v>
      </c>
      <c r="D221" s="6" t="s">
        <v>10</v>
      </c>
      <c r="E221" s="6" t="s">
        <v>83</v>
      </c>
      <c r="F221" s="6" t="s">
        <v>183</v>
      </c>
      <c r="G221" s="46">
        <v>40000</v>
      </c>
      <c r="H221" s="46">
        <f>40000+16000</f>
        <v>56000</v>
      </c>
      <c r="I221" s="46">
        <f t="shared" si="12"/>
        <v>59080</v>
      </c>
      <c r="J221" s="46">
        <f t="shared" si="13"/>
        <v>62034</v>
      </c>
    </row>
    <row r="222" spans="1:10" ht="102">
      <c r="A222" s="7" t="s">
        <v>219</v>
      </c>
      <c r="B222" s="61"/>
      <c r="C222" s="6" t="s">
        <v>81</v>
      </c>
      <c r="D222" s="6" t="s">
        <v>10</v>
      </c>
      <c r="E222" s="6" t="s">
        <v>83</v>
      </c>
      <c r="F222" s="6" t="s">
        <v>217</v>
      </c>
      <c r="G222" s="46"/>
      <c r="H222" s="46"/>
      <c r="I222" s="46">
        <f t="shared" si="12"/>
        <v>0</v>
      </c>
      <c r="J222" s="46">
        <f t="shared" si="13"/>
        <v>0</v>
      </c>
    </row>
    <row r="223" spans="1:10" ht="102">
      <c r="A223" s="7" t="s">
        <v>334</v>
      </c>
      <c r="B223" s="61"/>
      <c r="C223" s="6" t="s">
        <v>81</v>
      </c>
      <c r="D223" s="6" t="s">
        <v>10</v>
      </c>
      <c r="E223" s="6" t="s">
        <v>83</v>
      </c>
      <c r="F223" s="6" t="s">
        <v>217</v>
      </c>
      <c r="G223" s="46">
        <v>22.8</v>
      </c>
      <c r="H223" s="46">
        <v>30</v>
      </c>
      <c r="I223" s="46">
        <f t="shared" si="12"/>
        <v>31.65</v>
      </c>
      <c r="J223" s="46">
        <f t="shared" si="13"/>
        <v>33.232500000000002</v>
      </c>
    </row>
    <row r="224" spans="1:10" ht="25.5">
      <c r="A224" s="7" t="s">
        <v>372</v>
      </c>
      <c r="B224" s="61"/>
      <c r="C224" s="6" t="s">
        <v>81</v>
      </c>
      <c r="D224" s="6" t="s">
        <v>10</v>
      </c>
      <c r="E224" s="6" t="s">
        <v>83</v>
      </c>
      <c r="F224" s="6" t="s">
        <v>189</v>
      </c>
      <c r="G224" s="46">
        <v>264.10000000000002</v>
      </c>
      <c r="H224" s="46">
        <v>1627.2</v>
      </c>
      <c r="I224" s="46">
        <f t="shared" si="12"/>
        <v>1716.6959999999999</v>
      </c>
      <c r="J224" s="46">
        <f t="shared" si="13"/>
        <v>1802.5308</v>
      </c>
    </row>
    <row r="225" spans="1:10">
      <c r="A225" s="7" t="s">
        <v>206</v>
      </c>
      <c r="B225" s="61"/>
      <c r="C225" s="6" t="s">
        <v>81</v>
      </c>
      <c r="D225" s="6" t="s">
        <v>10</v>
      </c>
      <c r="E225" s="6" t="s">
        <v>83</v>
      </c>
      <c r="F225" s="6" t="s">
        <v>192</v>
      </c>
      <c r="G225" s="46"/>
      <c r="H225" s="46"/>
      <c r="I225" s="46">
        <f t="shared" si="12"/>
        <v>0</v>
      </c>
      <c r="J225" s="46">
        <f t="shared" si="13"/>
        <v>0</v>
      </c>
    </row>
    <row r="226" spans="1:10">
      <c r="A226" s="7" t="s">
        <v>206</v>
      </c>
      <c r="B226" s="61"/>
      <c r="C226" s="6" t="s">
        <v>81</v>
      </c>
      <c r="D226" s="6" t="s">
        <v>10</v>
      </c>
      <c r="E226" s="6" t="s">
        <v>350</v>
      </c>
      <c r="F226" s="6" t="s">
        <v>192</v>
      </c>
      <c r="G226" s="46">
        <v>35.1</v>
      </c>
      <c r="H226" s="46"/>
      <c r="I226" s="46"/>
      <c r="J226" s="46"/>
    </row>
    <row r="227" spans="1:10">
      <c r="A227" s="7" t="s">
        <v>84</v>
      </c>
      <c r="B227" s="61"/>
      <c r="C227" s="6" t="s">
        <v>81</v>
      </c>
      <c r="D227" s="6" t="s">
        <v>10</v>
      </c>
      <c r="E227" s="6" t="s">
        <v>85</v>
      </c>
      <c r="F227" s="6"/>
      <c r="G227" s="46">
        <f>G228</f>
        <v>20160.000000000004</v>
      </c>
      <c r="H227" s="46">
        <f>H228</f>
        <v>17255.5</v>
      </c>
      <c r="I227" s="46">
        <f t="shared" si="12"/>
        <v>18204.552499999998</v>
      </c>
      <c r="J227" s="46">
        <f t="shared" si="13"/>
        <v>19114.780124999997</v>
      </c>
    </row>
    <row r="228" spans="1:10" ht="25.5">
      <c r="A228" s="7" t="s">
        <v>36</v>
      </c>
      <c r="B228" s="61"/>
      <c r="C228" s="6" t="s">
        <v>81</v>
      </c>
      <c r="D228" s="6" t="s">
        <v>10</v>
      </c>
      <c r="E228" s="6" t="s">
        <v>86</v>
      </c>
      <c r="F228" s="6"/>
      <c r="G228" s="46">
        <f>G229+G230+G231</f>
        <v>20160.000000000004</v>
      </c>
      <c r="H228" s="46">
        <f>SUM(H229:H231)</f>
        <v>17255.5</v>
      </c>
      <c r="I228" s="46">
        <f t="shared" si="12"/>
        <v>18204.552499999998</v>
      </c>
      <c r="J228" s="46">
        <f t="shared" si="13"/>
        <v>19114.780124999997</v>
      </c>
    </row>
    <row r="229" spans="1:10">
      <c r="A229" s="7" t="s">
        <v>209</v>
      </c>
      <c r="B229" s="61"/>
      <c r="C229" s="6" t="s">
        <v>81</v>
      </c>
      <c r="D229" s="6" t="s">
        <v>10</v>
      </c>
      <c r="E229" s="6" t="s">
        <v>86</v>
      </c>
      <c r="F229" s="6" t="s">
        <v>171</v>
      </c>
      <c r="G229" s="46">
        <v>17575.400000000001</v>
      </c>
      <c r="H229" s="46">
        <v>15363.6</v>
      </c>
      <c r="I229" s="46">
        <f t="shared" si="12"/>
        <v>16208.598</v>
      </c>
      <c r="J229" s="46">
        <f t="shared" si="13"/>
        <v>17019.027900000001</v>
      </c>
    </row>
    <row r="230" spans="1:10" ht="25.5">
      <c r="A230" s="7" t="s">
        <v>205</v>
      </c>
      <c r="B230" s="61"/>
      <c r="C230" s="6" t="s">
        <v>81</v>
      </c>
      <c r="D230" s="6" t="s">
        <v>10</v>
      </c>
      <c r="E230" s="6" t="s">
        <v>86</v>
      </c>
      <c r="F230" s="6" t="s">
        <v>204</v>
      </c>
      <c r="G230" s="46">
        <v>162.19999999999999</v>
      </c>
      <c r="H230" s="46">
        <v>350</v>
      </c>
      <c r="I230" s="46">
        <f t="shared" si="12"/>
        <v>369.25</v>
      </c>
      <c r="J230" s="46">
        <f t="shared" si="13"/>
        <v>387.71250000000003</v>
      </c>
    </row>
    <row r="231" spans="1:10" ht="25.5">
      <c r="A231" s="7" t="s">
        <v>207</v>
      </c>
      <c r="B231" s="61"/>
      <c r="C231" s="6" t="s">
        <v>81</v>
      </c>
      <c r="D231" s="6" t="s">
        <v>10</v>
      </c>
      <c r="E231" s="6" t="s">
        <v>86</v>
      </c>
      <c r="F231" s="6" t="s">
        <v>168</v>
      </c>
      <c r="G231" s="46">
        <v>2422.4</v>
      </c>
      <c r="H231" s="46">
        <v>1541.9</v>
      </c>
      <c r="I231" s="46">
        <f t="shared" si="12"/>
        <v>1626.7045000000001</v>
      </c>
      <c r="J231" s="46">
        <f t="shared" si="13"/>
        <v>1708.0397250000001</v>
      </c>
    </row>
    <row r="232" spans="1:10" ht="25.5">
      <c r="A232" s="7" t="s">
        <v>140</v>
      </c>
      <c r="B232" s="61"/>
      <c r="C232" s="6" t="s">
        <v>81</v>
      </c>
      <c r="D232" s="6" t="s">
        <v>19</v>
      </c>
      <c r="E232" s="6"/>
      <c r="F232" s="6"/>
      <c r="G232" s="46">
        <f>G233</f>
        <v>8639.6999999999989</v>
      </c>
      <c r="H232" s="46">
        <f>H233</f>
        <v>6055.2</v>
      </c>
      <c r="I232" s="46">
        <f t="shared" si="12"/>
        <v>6388.2359999999999</v>
      </c>
      <c r="J232" s="46">
        <f t="shared" si="13"/>
        <v>6707.6477999999997</v>
      </c>
    </row>
    <row r="233" spans="1:10" ht="76.5">
      <c r="A233" s="7" t="s">
        <v>95</v>
      </c>
      <c r="B233" s="61"/>
      <c r="C233" s="6" t="s">
        <v>81</v>
      </c>
      <c r="D233" s="6" t="s">
        <v>19</v>
      </c>
      <c r="E233" s="6" t="s">
        <v>78</v>
      </c>
      <c r="F233" s="6"/>
      <c r="G233" s="46">
        <f>G234</f>
        <v>8639.6999999999989</v>
      </c>
      <c r="H233" s="46">
        <f>H234</f>
        <v>6055.2</v>
      </c>
      <c r="I233" s="46">
        <f t="shared" si="12"/>
        <v>6388.2359999999999</v>
      </c>
      <c r="J233" s="46">
        <f t="shared" si="13"/>
        <v>6707.6477999999997</v>
      </c>
    </row>
    <row r="234" spans="1:10" ht="25.5">
      <c r="A234" s="7" t="s">
        <v>36</v>
      </c>
      <c r="B234" s="67"/>
      <c r="C234" s="6" t="s">
        <v>81</v>
      </c>
      <c r="D234" s="6" t="s">
        <v>19</v>
      </c>
      <c r="E234" s="6" t="s">
        <v>79</v>
      </c>
      <c r="F234" s="6"/>
      <c r="G234" s="46">
        <f>G235+G236+G237+G238</f>
        <v>8639.6999999999989</v>
      </c>
      <c r="H234" s="46">
        <f>SUM(H235:H237)</f>
        <v>6055.2</v>
      </c>
      <c r="I234" s="46">
        <f t="shared" si="12"/>
        <v>6388.2359999999999</v>
      </c>
      <c r="J234" s="46">
        <f t="shared" si="13"/>
        <v>6707.6477999999997</v>
      </c>
    </row>
    <row r="235" spans="1:10">
      <c r="A235" s="7" t="s">
        <v>209</v>
      </c>
      <c r="B235" s="61"/>
      <c r="C235" s="6" t="s">
        <v>81</v>
      </c>
      <c r="D235" s="6" t="s">
        <v>19</v>
      </c>
      <c r="E235" s="6" t="s">
        <v>79</v>
      </c>
      <c r="F235" s="6" t="s">
        <v>171</v>
      </c>
      <c r="G235" s="46">
        <v>3831.7</v>
      </c>
      <c r="H235" s="46">
        <v>3610</v>
      </c>
      <c r="I235" s="46">
        <f t="shared" si="12"/>
        <v>3808.5499999999997</v>
      </c>
      <c r="J235" s="46">
        <f t="shared" si="13"/>
        <v>3998.9775</v>
      </c>
    </row>
    <row r="236" spans="1:10" ht="25.5">
      <c r="A236" s="7" t="s">
        <v>205</v>
      </c>
      <c r="B236" s="61"/>
      <c r="C236" s="6" t="s">
        <v>81</v>
      </c>
      <c r="D236" s="6" t="s">
        <v>19</v>
      </c>
      <c r="E236" s="6" t="s">
        <v>79</v>
      </c>
      <c r="F236" s="6" t="s">
        <v>204</v>
      </c>
      <c r="G236" s="46">
        <v>200</v>
      </c>
      <c r="H236" s="46">
        <v>240</v>
      </c>
      <c r="I236" s="46">
        <f t="shared" si="12"/>
        <v>253.2</v>
      </c>
      <c r="J236" s="46">
        <f t="shared" si="13"/>
        <v>265.86</v>
      </c>
    </row>
    <row r="237" spans="1:10" ht="25.5">
      <c r="A237" s="7" t="s">
        <v>207</v>
      </c>
      <c r="B237" s="61"/>
      <c r="C237" s="6" t="s">
        <v>81</v>
      </c>
      <c r="D237" s="6" t="s">
        <v>19</v>
      </c>
      <c r="E237" s="6" t="s">
        <v>79</v>
      </c>
      <c r="F237" s="6" t="s">
        <v>168</v>
      </c>
      <c r="G237" s="46">
        <v>3720.6</v>
      </c>
      <c r="H237" s="46">
        <v>2205.1999999999998</v>
      </c>
      <c r="I237" s="46">
        <f t="shared" si="12"/>
        <v>2326.4859999999999</v>
      </c>
      <c r="J237" s="46">
        <f t="shared" si="13"/>
        <v>2442.8103000000001</v>
      </c>
    </row>
    <row r="238" spans="1:10" ht="25.5">
      <c r="A238" s="7" t="s">
        <v>280</v>
      </c>
      <c r="B238" s="61"/>
      <c r="C238" s="6" t="s">
        <v>81</v>
      </c>
      <c r="D238" s="6" t="s">
        <v>19</v>
      </c>
      <c r="E238" s="6" t="s">
        <v>351</v>
      </c>
      <c r="F238" s="6" t="s">
        <v>189</v>
      </c>
      <c r="G238" s="46">
        <v>887.4</v>
      </c>
      <c r="H238" s="46">
        <v>0</v>
      </c>
      <c r="I238" s="46">
        <f t="shared" si="12"/>
        <v>0</v>
      </c>
      <c r="J238" s="46">
        <f t="shared" si="13"/>
        <v>0</v>
      </c>
    </row>
    <row r="239" spans="1:10">
      <c r="A239" s="7" t="s">
        <v>135</v>
      </c>
      <c r="B239" s="61"/>
      <c r="C239" s="6" t="s">
        <v>24</v>
      </c>
      <c r="D239" s="6"/>
      <c r="E239" s="6"/>
      <c r="F239" s="6"/>
      <c r="G239" s="46">
        <f>G240</f>
        <v>5953.9</v>
      </c>
      <c r="H239" s="46">
        <f>H240</f>
        <v>7265.6</v>
      </c>
      <c r="I239" s="46">
        <f t="shared" si="12"/>
        <v>7665.2079999999996</v>
      </c>
      <c r="J239" s="46">
        <f t="shared" si="13"/>
        <v>8048.4683999999997</v>
      </c>
    </row>
    <row r="240" spans="1:10">
      <c r="A240" s="7" t="s">
        <v>136</v>
      </c>
      <c r="B240" s="61"/>
      <c r="C240" s="6" t="s">
        <v>24</v>
      </c>
      <c r="D240" s="6" t="s">
        <v>50</v>
      </c>
      <c r="E240" s="6"/>
      <c r="F240" s="6"/>
      <c r="G240" s="46">
        <f>G241</f>
        <v>5953.9</v>
      </c>
      <c r="H240" s="46">
        <f>H241</f>
        <v>7265.6</v>
      </c>
      <c r="I240" s="46">
        <f t="shared" si="12"/>
        <v>7665.2079999999996</v>
      </c>
      <c r="J240" s="46">
        <f t="shared" si="13"/>
        <v>8048.4683999999997</v>
      </c>
    </row>
    <row r="241" spans="1:10" ht="25.5">
      <c r="A241" s="7" t="s">
        <v>87</v>
      </c>
      <c r="B241" s="61"/>
      <c r="C241" s="6" t="s">
        <v>24</v>
      </c>
      <c r="D241" s="6" t="s">
        <v>50</v>
      </c>
      <c r="E241" s="6" t="s">
        <v>88</v>
      </c>
      <c r="F241" s="6"/>
      <c r="G241" s="46">
        <f>G242+G243+G244+G245+G246</f>
        <v>5953.9</v>
      </c>
      <c r="H241" s="46">
        <f>SUM(H242:H246)</f>
        <v>7265.6</v>
      </c>
      <c r="I241" s="46">
        <f t="shared" si="12"/>
        <v>7665.2079999999996</v>
      </c>
      <c r="J241" s="46">
        <f t="shared" si="13"/>
        <v>8048.4683999999997</v>
      </c>
    </row>
    <row r="242" spans="1:10">
      <c r="A242" s="7" t="s">
        <v>209</v>
      </c>
      <c r="B242" s="61"/>
      <c r="C242" s="6" t="s">
        <v>24</v>
      </c>
      <c r="D242" s="6" t="s">
        <v>50</v>
      </c>
      <c r="E242" s="6" t="s">
        <v>88</v>
      </c>
      <c r="F242" s="6" t="s">
        <v>171</v>
      </c>
      <c r="G242" s="46">
        <v>3296</v>
      </c>
      <c r="H242" s="46">
        <v>5165</v>
      </c>
      <c r="I242" s="46">
        <f t="shared" si="12"/>
        <v>5449.0749999999998</v>
      </c>
      <c r="J242" s="46">
        <f t="shared" si="13"/>
        <v>5721.5287500000004</v>
      </c>
    </row>
    <row r="243" spans="1:10" ht="25.5">
      <c r="A243" s="7" t="s">
        <v>205</v>
      </c>
      <c r="B243" s="61"/>
      <c r="C243" s="6" t="s">
        <v>24</v>
      </c>
      <c r="D243" s="6" t="s">
        <v>50</v>
      </c>
      <c r="E243" s="6" t="s">
        <v>88</v>
      </c>
      <c r="F243" s="6" t="s">
        <v>204</v>
      </c>
      <c r="G243" s="46">
        <v>104.2</v>
      </c>
      <c r="H243" s="46">
        <f>84.9+40</f>
        <v>124.9</v>
      </c>
      <c r="I243" s="46">
        <f t="shared" si="12"/>
        <v>131.76949999999999</v>
      </c>
      <c r="J243" s="46">
        <f t="shared" si="13"/>
        <v>138.35797500000001</v>
      </c>
    </row>
    <row r="244" spans="1:10" ht="25.5">
      <c r="A244" s="7" t="s">
        <v>207</v>
      </c>
      <c r="B244" s="61"/>
      <c r="C244" s="6" t="s">
        <v>24</v>
      </c>
      <c r="D244" s="6" t="s">
        <v>50</v>
      </c>
      <c r="E244" s="6" t="s">
        <v>88</v>
      </c>
      <c r="F244" s="6" t="s">
        <v>168</v>
      </c>
      <c r="G244" s="46">
        <v>2550</v>
      </c>
      <c r="H244" s="46">
        <f>1810.6+160</f>
        <v>1970.6</v>
      </c>
      <c r="I244" s="46">
        <f t="shared" si="12"/>
        <v>2078.9829999999997</v>
      </c>
      <c r="J244" s="46">
        <f t="shared" si="13"/>
        <v>2182.9321499999996</v>
      </c>
    </row>
    <row r="245" spans="1:10" ht="25.5">
      <c r="A245" s="7" t="s">
        <v>372</v>
      </c>
      <c r="B245" s="61"/>
      <c r="C245" s="6" t="s">
        <v>24</v>
      </c>
      <c r="D245" s="6" t="s">
        <v>50</v>
      </c>
      <c r="E245" s="6" t="s">
        <v>88</v>
      </c>
      <c r="F245" s="6" t="s">
        <v>189</v>
      </c>
      <c r="G245" s="46">
        <v>2.2000000000000002</v>
      </c>
      <c r="H245" s="46">
        <v>3.6</v>
      </c>
      <c r="I245" s="46">
        <f t="shared" si="12"/>
        <v>3.798</v>
      </c>
      <c r="J245" s="46">
        <f t="shared" si="13"/>
        <v>3.9879000000000002</v>
      </c>
    </row>
    <row r="246" spans="1:10">
      <c r="A246" s="7" t="s">
        <v>206</v>
      </c>
      <c r="B246" s="61"/>
      <c r="C246" s="6" t="s">
        <v>24</v>
      </c>
      <c r="D246" s="6" t="s">
        <v>50</v>
      </c>
      <c r="E246" s="6" t="s">
        <v>88</v>
      </c>
      <c r="F246" s="6" t="s">
        <v>192</v>
      </c>
      <c r="G246" s="46">
        <v>1.5</v>
      </c>
      <c r="H246" s="46">
        <v>1.5</v>
      </c>
      <c r="I246" s="46">
        <f t="shared" si="12"/>
        <v>1.5825</v>
      </c>
      <c r="J246" s="46">
        <f t="shared" si="13"/>
        <v>1.6616250000000001</v>
      </c>
    </row>
    <row r="247" spans="1:10" ht="51">
      <c r="A247" s="1" t="s">
        <v>118</v>
      </c>
      <c r="B247" s="67">
        <v>866</v>
      </c>
      <c r="C247" s="5"/>
      <c r="D247" s="5"/>
      <c r="E247" s="5"/>
      <c r="F247" s="5"/>
      <c r="G247" s="45">
        <f>G248+G259</f>
        <v>15101.1</v>
      </c>
      <c r="H247" s="45">
        <f>H248</f>
        <v>12460.3</v>
      </c>
      <c r="I247" s="45">
        <f t="shared" si="12"/>
        <v>13145.616499999998</v>
      </c>
      <c r="J247" s="45">
        <f t="shared" si="13"/>
        <v>13802.897324999998</v>
      </c>
    </row>
    <row r="248" spans="1:10" ht="17.25" customHeight="1">
      <c r="A248" s="7" t="s">
        <v>9</v>
      </c>
      <c r="B248" s="61"/>
      <c r="C248" s="6" t="s">
        <v>10</v>
      </c>
      <c r="D248" s="6"/>
      <c r="E248" s="6"/>
      <c r="F248" s="6"/>
      <c r="G248" s="46">
        <f>G249</f>
        <v>10991.5</v>
      </c>
      <c r="H248" s="46">
        <f>H249</f>
        <v>12460.3</v>
      </c>
      <c r="I248" s="46">
        <f t="shared" si="12"/>
        <v>13145.616499999998</v>
      </c>
      <c r="J248" s="46">
        <f t="shared" si="13"/>
        <v>13802.897324999998</v>
      </c>
    </row>
    <row r="249" spans="1:10" ht="18.75" customHeight="1">
      <c r="A249" s="7" t="s">
        <v>28</v>
      </c>
      <c r="B249" s="61"/>
      <c r="C249" s="6" t="s">
        <v>10</v>
      </c>
      <c r="D249" s="6" t="s">
        <v>154</v>
      </c>
      <c r="E249" s="6"/>
      <c r="F249" s="6"/>
      <c r="G249" s="46">
        <f>G250</f>
        <v>10991.5</v>
      </c>
      <c r="H249" s="46">
        <f>H250</f>
        <v>12460.3</v>
      </c>
      <c r="I249" s="46">
        <f t="shared" si="12"/>
        <v>13145.616499999998</v>
      </c>
      <c r="J249" s="46">
        <f t="shared" si="13"/>
        <v>13802.897324999998</v>
      </c>
    </row>
    <row r="250" spans="1:10" ht="38.25">
      <c r="A250" s="7" t="s">
        <v>110</v>
      </c>
      <c r="B250" s="61"/>
      <c r="C250" s="6" t="s">
        <v>10</v>
      </c>
      <c r="D250" s="6" t="s">
        <v>154</v>
      </c>
      <c r="E250" s="6" t="s">
        <v>14</v>
      </c>
      <c r="F250" s="6"/>
      <c r="G250" s="46">
        <f>G251</f>
        <v>10991.5</v>
      </c>
      <c r="H250" s="46">
        <f>H251</f>
        <v>12460.3</v>
      </c>
      <c r="I250" s="46">
        <f t="shared" si="12"/>
        <v>13145.616499999998</v>
      </c>
      <c r="J250" s="46">
        <f t="shared" si="13"/>
        <v>13802.897324999998</v>
      </c>
    </row>
    <row r="251" spans="1:10" ht="15" customHeight="1">
      <c r="A251" s="7" t="s">
        <v>15</v>
      </c>
      <c r="B251" s="67"/>
      <c r="C251" s="6" t="s">
        <v>10</v>
      </c>
      <c r="D251" s="6" t="s">
        <v>154</v>
      </c>
      <c r="E251" s="6" t="s">
        <v>16</v>
      </c>
      <c r="F251" s="6"/>
      <c r="G251" s="46">
        <f>G252</f>
        <v>10991.5</v>
      </c>
      <c r="H251" s="46">
        <f>H252</f>
        <v>12460.3</v>
      </c>
      <c r="I251" s="46">
        <f t="shared" si="12"/>
        <v>13145.616499999998</v>
      </c>
      <c r="J251" s="46">
        <f t="shared" si="13"/>
        <v>13802.897324999998</v>
      </c>
    </row>
    <row r="252" spans="1:10" ht="18" customHeight="1">
      <c r="A252" s="7" t="s">
        <v>15</v>
      </c>
      <c r="B252" s="67"/>
      <c r="C252" s="6" t="s">
        <v>10</v>
      </c>
      <c r="D252" s="6" t="s">
        <v>154</v>
      </c>
      <c r="E252" s="6" t="s">
        <v>17</v>
      </c>
      <c r="F252" s="6"/>
      <c r="G252" s="46">
        <f>SUM(G253:G258)</f>
        <v>10991.5</v>
      </c>
      <c r="H252" s="46">
        <f>SUM(H253:H258)</f>
        <v>12460.3</v>
      </c>
      <c r="I252" s="46">
        <f t="shared" si="12"/>
        <v>13145.616499999998</v>
      </c>
      <c r="J252" s="46">
        <f t="shared" si="13"/>
        <v>13802.897324999998</v>
      </c>
    </row>
    <row r="253" spans="1:10" ht="18" customHeight="1">
      <c r="A253" s="7" t="s">
        <v>209</v>
      </c>
      <c r="B253" s="61"/>
      <c r="C253" s="6" t="s">
        <v>10</v>
      </c>
      <c r="D253" s="6" t="s">
        <v>154</v>
      </c>
      <c r="E253" s="6" t="s">
        <v>17</v>
      </c>
      <c r="F253" s="6" t="s">
        <v>171</v>
      </c>
      <c r="G253" s="46">
        <v>8504.7999999999993</v>
      </c>
      <c r="H253" s="46">
        <v>9368.4</v>
      </c>
      <c r="I253" s="46">
        <f t="shared" si="12"/>
        <v>9883.6619999999984</v>
      </c>
      <c r="J253" s="46">
        <f t="shared" si="13"/>
        <v>10377.845099999999</v>
      </c>
    </row>
    <row r="254" spans="1:10" ht="25.5">
      <c r="A254" s="7" t="s">
        <v>205</v>
      </c>
      <c r="B254" s="61"/>
      <c r="C254" s="6" t="s">
        <v>10</v>
      </c>
      <c r="D254" s="6" t="s">
        <v>154</v>
      </c>
      <c r="E254" s="6" t="s">
        <v>17</v>
      </c>
      <c r="F254" s="6" t="s">
        <v>204</v>
      </c>
      <c r="G254" s="46">
        <v>407.6</v>
      </c>
      <c r="H254" s="46">
        <v>531.6</v>
      </c>
      <c r="I254" s="46">
        <f t="shared" si="12"/>
        <v>560.83799999999997</v>
      </c>
      <c r="J254" s="46">
        <f t="shared" si="13"/>
        <v>588.87990000000002</v>
      </c>
    </row>
    <row r="255" spans="1:10" ht="38.25">
      <c r="A255" s="7" t="s">
        <v>223</v>
      </c>
      <c r="B255" s="61"/>
      <c r="C255" s="6" t="s">
        <v>10</v>
      </c>
      <c r="D255" s="6" t="s">
        <v>154</v>
      </c>
      <c r="E255" s="6" t="s">
        <v>17</v>
      </c>
      <c r="F255" s="6" t="s">
        <v>175</v>
      </c>
      <c r="G255" s="46">
        <v>69</v>
      </c>
      <c r="H255" s="46">
        <v>114.8</v>
      </c>
      <c r="I255" s="46">
        <f t="shared" si="12"/>
        <v>121.11399999999999</v>
      </c>
      <c r="J255" s="46">
        <f t="shared" si="13"/>
        <v>127.16969999999999</v>
      </c>
    </row>
    <row r="256" spans="1:10" ht="25.5">
      <c r="A256" s="7" t="s">
        <v>207</v>
      </c>
      <c r="B256" s="61"/>
      <c r="C256" s="6" t="s">
        <v>10</v>
      </c>
      <c r="D256" s="6" t="s">
        <v>154</v>
      </c>
      <c r="E256" s="6" t="s">
        <v>17</v>
      </c>
      <c r="F256" s="6" t="s">
        <v>168</v>
      </c>
      <c r="G256" s="46">
        <v>1910.1</v>
      </c>
      <c r="H256" s="46">
        <v>2353.1999999999998</v>
      </c>
      <c r="I256" s="46">
        <f t="shared" si="12"/>
        <v>2482.6259999999997</v>
      </c>
      <c r="J256" s="46">
        <f t="shared" si="13"/>
        <v>2606.7572999999998</v>
      </c>
    </row>
    <row r="257" spans="1:10" ht="25.5">
      <c r="A257" s="7" t="s">
        <v>372</v>
      </c>
      <c r="B257" s="61"/>
      <c r="C257" s="6" t="s">
        <v>10</v>
      </c>
      <c r="D257" s="6" t="s">
        <v>154</v>
      </c>
      <c r="E257" s="6" t="s">
        <v>17</v>
      </c>
      <c r="F257" s="6" t="s">
        <v>189</v>
      </c>
      <c r="G257" s="46">
        <v>98</v>
      </c>
      <c r="H257" s="46">
        <v>90</v>
      </c>
      <c r="I257" s="46">
        <f t="shared" si="12"/>
        <v>94.949999999999989</v>
      </c>
      <c r="J257" s="46">
        <f t="shared" si="13"/>
        <v>99.697499999999991</v>
      </c>
    </row>
    <row r="258" spans="1:10" ht="16.5" customHeight="1">
      <c r="A258" s="7" t="s">
        <v>206</v>
      </c>
      <c r="B258" s="61"/>
      <c r="C258" s="6" t="s">
        <v>10</v>
      </c>
      <c r="D258" s="6" t="s">
        <v>154</v>
      </c>
      <c r="E258" s="6" t="s">
        <v>17</v>
      </c>
      <c r="F258" s="6" t="s">
        <v>192</v>
      </c>
      <c r="G258" s="46">
        <v>2</v>
      </c>
      <c r="H258" s="46">
        <v>2.2999999999999998</v>
      </c>
      <c r="I258" s="46">
        <f t="shared" si="12"/>
        <v>2.4264999999999999</v>
      </c>
      <c r="J258" s="46">
        <f t="shared" si="13"/>
        <v>2.547825</v>
      </c>
    </row>
    <row r="259" spans="1:10" ht="17.25" customHeight="1">
      <c r="A259" s="7" t="s">
        <v>39</v>
      </c>
      <c r="B259" s="61"/>
      <c r="C259" s="6" t="s">
        <v>19</v>
      </c>
      <c r="D259" s="6"/>
      <c r="E259" s="6"/>
      <c r="F259" s="6"/>
      <c r="G259" s="46">
        <f>G260</f>
        <v>4109.6000000000004</v>
      </c>
      <c r="H259" s="46">
        <v>0</v>
      </c>
      <c r="I259" s="46">
        <f t="shared" si="12"/>
        <v>0</v>
      </c>
      <c r="J259" s="46">
        <f t="shared" si="13"/>
        <v>0</v>
      </c>
    </row>
    <row r="260" spans="1:10" ht="16.5" customHeight="1">
      <c r="A260" s="7" t="s">
        <v>141</v>
      </c>
      <c r="B260" s="61"/>
      <c r="C260" s="6" t="s">
        <v>19</v>
      </c>
      <c r="D260" s="6" t="s">
        <v>81</v>
      </c>
      <c r="E260" s="6"/>
      <c r="F260" s="6"/>
      <c r="G260" s="46">
        <f>G261</f>
        <v>4109.6000000000004</v>
      </c>
      <c r="H260" s="46">
        <v>0</v>
      </c>
      <c r="I260" s="46">
        <f t="shared" si="12"/>
        <v>0</v>
      </c>
      <c r="J260" s="46">
        <f t="shared" si="13"/>
        <v>0</v>
      </c>
    </row>
    <row r="261" spans="1:10" ht="42" customHeight="1">
      <c r="A261" s="7" t="s">
        <v>381</v>
      </c>
      <c r="B261" s="61"/>
      <c r="C261" s="6" t="s">
        <v>19</v>
      </c>
      <c r="D261" s="6" t="s">
        <v>81</v>
      </c>
      <c r="E261" s="6" t="s">
        <v>335</v>
      </c>
      <c r="F261" s="6"/>
      <c r="G261" s="46">
        <f>G262</f>
        <v>4109.6000000000004</v>
      </c>
      <c r="H261" s="46">
        <v>0</v>
      </c>
      <c r="I261" s="46">
        <f t="shared" si="12"/>
        <v>0</v>
      </c>
      <c r="J261" s="46">
        <f t="shared" si="13"/>
        <v>0</v>
      </c>
    </row>
    <row r="262" spans="1:10" ht="55.5" customHeight="1">
      <c r="A262" s="7" t="s">
        <v>357</v>
      </c>
      <c r="B262" s="61"/>
      <c r="C262" s="6" t="s">
        <v>19</v>
      </c>
      <c r="D262" s="6" t="s">
        <v>81</v>
      </c>
      <c r="E262" s="6" t="s">
        <v>335</v>
      </c>
      <c r="F262" s="6" t="s">
        <v>356</v>
      </c>
      <c r="G262" s="46">
        <v>4109.6000000000004</v>
      </c>
      <c r="H262" s="46">
        <v>0</v>
      </c>
      <c r="I262" s="46">
        <f t="shared" si="12"/>
        <v>0</v>
      </c>
      <c r="J262" s="46">
        <f t="shared" si="13"/>
        <v>0</v>
      </c>
    </row>
    <row r="263" spans="1:10" ht="38.25">
      <c r="A263" s="1" t="s">
        <v>119</v>
      </c>
      <c r="B263" s="67">
        <v>873</v>
      </c>
      <c r="C263" s="5"/>
      <c r="D263" s="5"/>
      <c r="E263" s="5"/>
      <c r="F263" s="5"/>
      <c r="G263" s="45">
        <f>G264</f>
        <v>314398.60000000003</v>
      </c>
      <c r="H263" s="45">
        <f>H265+H291+H295</f>
        <v>303224.60000000003</v>
      </c>
      <c r="I263" s="45">
        <f>I265+I295</f>
        <v>369323.95299999998</v>
      </c>
      <c r="J263" s="45">
        <f>J265+J295</f>
        <v>444442.60045000003</v>
      </c>
    </row>
    <row r="264" spans="1:10" ht="18" customHeight="1">
      <c r="A264" s="7" t="s">
        <v>63</v>
      </c>
      <c r="B264" s="61"/>
      <c r="C264" s="6" t="s">
        <v>64</v>
      </c>
      <c r="D264" s="6"/>
      <c r="E264" s="6"/>
      <c r="F264" s="6"/>
      <c r="G264" s="68">
        <f>G265+G295</f>
        <v>314398.60000000003</v>
      </c>
      <c r="H264" s="68">
        <f>H265+H291+H295</f>
        <v>303224.60000000003</v>
      </c>
      <c r="I264" s="69">
        <f>I265+I295</f>
        <v>369323.95299999998</v>
      </c>
      <c r="J264" s="69">
        <f>J265+J295</f>
        <v>444442.60045000003</v>
      </c>
    </row>
    <row r="265" spans="1:10" ht="17.25" customHeight="1">
      <c r="A265" s="7" t="s">
        <v>65</v>
      </c>
      <c r="B265" s="61"/>
      <c r="C265" s="6" t="s">
        <v>64</v>
      </c>
      <c r="D265" s="6" t="s">
        <v>50</v>
      </c>
      <c r="E265" s="6"/>
      <c r="F265" s="6"/>
      <c r="G265" s="46">
        <f>G266+G272+G277</f>
        <v>280068.30000000005</v>
      </c>
      <c r="H265" s="46">
        <f>H266+H273+H277</f>
        <v>267529.2</v>
      </c>
      <c r="I265" s="46">
        <f>I266+I273+I277</f>
        <v>331665.30599999998</v>
      </c>
      <c r="J265" s="46">
        <f>J266+J272+J277</f>
        <v>404901.02110000001</v>
      </c>
    </row>
    <row r="266" spans="1:10" ht="51">
      <c r="A266" s="70" t="s">
        <v>279</v>
      </c>
      <c r="B266" s="61"/>
      <c r="C266" s="6" t="s">
        <v>64</v>
      </c>
      <c r="D266" s="6" t="s">
        <v>50</v>
      </c>
      <c r="E266" s="6" t="s">
        <v>278</v>
      </c>
      <c r="F266" s="6"/>
      <c r="G266" s="46">
        <f>G267</f>
        <v>88916.4</v>
      </c>
      <c r="H266" s="46">
        <f>H267</f>
        <v>70000</v>
      </c>
      <c r="I266" s="46">
        <v>123272</v>
      </c>
      <c r="J266" s="46">
        <v>123272</v>
      </c>
    </row>
    <row r="267" spans="1:10" ht="55.5" customHeight="1">
      <c r="A267" s="7" t="s">
        <v>214</v>
      </c>
      <c r="B267" s="61"/>
      <c r="C267" s="6" t="s">
        <v>64</v>
      </c>
      <c r="D267" s="6" t="s">
        <v>50</v>
      </c>
      <c r="E267" s="6" t="s">
        <v>278</v>
      </c>
      <c r="F267" s="6" t="s">
        <v>213</v>
      </c>
      <c r="G267" s="46">
        <v>88916.4</v>
      </c>
      <c r="H267" s="46">
        <v>70000</v>
      </c>
      <c r="I267" s="46">
        <v>123272</v>
      </c>
      <c r="J267" s="46">
        <v>123272</v>
      </c>
    </row>
    <row r="268" spans="1:10" ht="38.25" hidden="1">
      <c r="A268" s="7" t="s">
        <v>215</v>
      </c>
      <c r="B268" s="61"/>
      <c r="C268" s="6" t="s">
        <v>64</v>
      </c>
      <c r="D268" s="6" t="s">
        <v>50</v>
      </c>
      <c r="E268" s="6" t="s">
        <v>278</v>
      </c>
      <c r="F268" s="6" t="s">
        <v>184</v>
      </c>
      <c r="G268" s="46"/>
      <c r="H268" s="46"/>
      <c r="I268" s="46">
        <f t="shared" si="12"/>
        <v>0</v>
      </c>
      <c r="J268" s="46">
        <f t="shared" si="13"/>
        <v>0</v>
      </c>
    </row>
    <row r="269" spans="1:10" ht="25.5" hidden="1">
      <c r="A269" s="7" t="s">
        <v>66</v>
      </c>
      <c r="B269" s="61"/>
      <c r="C269" s="6" t="s">
        <v>64</v>
      </c>
      <c r="D269" s="6" t="s">
        <v>50</v>
      </c>
      <c r="E269" s="6" t="s">
        <v>67</v>
      </c>
      <c r="F269" s="6"/>
      <c r="G269" s="46"/>
      <c r="H269" s="46"/>
      <c r="I269" s="46">
        <f t="shared" si="12"/>
        <v>0</v>
      </c>
      <c r="J269" s="46">
        <f t="shared" si="13"/>
        <v>0</v>
      </c>
    </row>
    <row r="270" spans="1:10" ht="25.5" hidden="1">
      <c r="A270" s="7" t="s">
        <v>36</v>
      </c>
      <c r="B270" s="61"/>
      <c r="C270" s="6" t="s">
        <v>64</v>
      </c>
      <c r="D270" s="6" t="s">
        <v>50</v>
      </c>
      <c r="E270" s="6" t="s">
        <v>68</v>
      </c>
      <c r="F270" s="6"/>
      <c r="G270" s="46"/>
      <c r="H270" s="46"/>
      <c r="I270" s="46">
        <f t="shared" si="12"/>
        <v>0</v>
      </c>
      <c r="J270" s="46">
        <f t="shared" si="13"/>
        <v>0</v>
      </c>
    </row>
    <row r="271" spans="1:10" ht="25.5" hidden="1">
      <c r="A271" s="7" t="s">
        <v>36</v>
      </c>
      <c r="B271" s="61"/>
      <c r="C271" s="6" t="s">
        <v>64</v>
      </c>
      <c r="D271" s="6" t="s">
        <v>50</v>
      </c>
      <c r="E271" s="6" t="s">
        <v>69</v>
      </c>
      <c r="F271" s="6"/>
      <c r="G271" s="46"/>
      <c r="H271" s="46"/>
      <c r="I271" s="46">
        <f t="shared" si="12"/>
        <v>0</v>
      </c>
      <c r="J271" s="46">
        <f t="shared" si="13"/>
        <v>0</v>
      </c>
    </row>
    <row r="272" spans="1:10" ht="30.75" customHeight="1">
      <c r="A272" s="7" t="s">
        <v>66</v>
      </c>
      <c r="B272" s="61"/>
      <c r="C272" s="6" t="s">
        <v>64</v>
      </c>
      <c r="D272" s="6" t="s">
        <v>50</v>
      </c>
      <c r="E272" s="6" t="s">
        <v>362</v>
      </c>
      <c r="F272" s="6"/>
      <c r="G272" s="46">
        <f>G273+G274</f>
        <v>178793</v>
      </c>
      <c r="H272" s="46">
        <f>H273+H274</f>
        <v>183776.8</v>
      </c>
      <c r="I272" s="46">
        <f>I273+I274</f>
        <v>193884.52399999998</v>
      </c>
      <c r="J272" s="46">
        <f>J273+J274</f>
        <v>266394.8</v>
      </c>
    </row>
    <row r="273" spans="1:10" ht="63.75">
      <c r="A273" s="7" t="s">
        <v>225</v>
      </c>
      <c r="B273" s="61"/>
      <c r="C273" s="6" t="s">
        <v>64</v>
      </c>
      <c r="D273" s="6" t="s">
        <v>50</v>
      </c>
      <c r="E273" s="6" t="s">
        <v>69</v>
      </c>
      <c r="F273" s="6" t="s">
        <v>180</v>
      </c>
      <c r="G273" s="46">
        <v>169189.8</v>
      </c>
      <c r="H273" s="46">
        <v>183776.8</v>
      </c>
      <c r="I273" s="46">
        <f t="shared" si="12"/>
        <v>193884.52399999998</v>
      </c>
      <c r="J273" s="46">
        <f>203578.7+62816.1</f>
        <v>266394.8</v>
      </c>
    </row>
    <row r="274" spans="1:10" ht="30" customHeight="1">
      <c r="A274" s="7" t="s">
        <v>290</v>
      </c>
      <c r="B274" s="61"/>
      <c r="C274" s="6" t="s">
        <v>64</v>
      </c>
      <c r="D274" s="6" t="s">
        <v>50</v>
      </c>
      <c r="E274" s="6" t="s">
        <v>69</v>
      </c>
      <c r="F274" s="6" t="s">
        <v>288</v>
      </c>
      <c r="G274" s="46">
        <v>9603.2000000000007</v>
      </c>
      <c r="H274" s="46">
        <v>0</v>
      </c>
      <c r="I274" s="46">
        <f t="shared" si="12"/>
        <v>0</v>
      </c>
      <c r="J274" s="46">
        <f t="shared" si="13"/>
        <v>0</v>
      </c>
    </row>
    <row r="275" spans="1:10" ht="38.25" hidden="1">
      <c r="A275" s="7" t="s">
        <v>263</v>
      </c>
      <c r="B275" s="61"/>
      <c r="C275" s="6" t="s">
        <v>64</v>
      </c>
      <c r="D275" s="6" t="s">
        <v>50</v>
      </c>
      <c r="E275" s="6" t="s">
        <v>262</v>
      </c>
      <c r="F275" s="6"/>
      <c r="G275" s="46"/>
      <c r="H275" s="46"/>
      <c r="I275" s="46">
        <f t="shared" si="12"/>
        <v>0</v>
      </c>
      <c r="J275" s="46">
        <f t="shared" si="13"/>
        <v>0</v>
      </c>
    </row>
    <row r="276" spans="1:10" ht="63.75" hidden="1">
      <c r="A276" s="7" t="s">
        <v>225</v>
      </c>
      <c r="B276" s="61"/>
      <c r="C276" s="6" t="s">
        <v>64</v>
      </c>
      <c r="D276" s="6" t="s">
        <v>50</v>
      </c>
      <c r="E276" s="6" t="s">
        <v>262</v>
      </c>
      <c r="F276" s="6" t="s">
        <v>180</v>
      </c>
      <c r="G276" s="46"/>
      <c r="H276" s="46"/>
      <c r="I276" s="46">
        <f t="shared" si="12"/>
        <v>0</v>
      </c>
      <c r="J276" s="46">
        <f t="shared" si="13"/>
        <v>0</v>
      </c>
    </row>
    <row r="277" spans="1:10" ht="21.75" customHeight="1">
      <c r="A277" s="7" t="s">
        <v>70</v>
      </c>
      <c r="B277" s="61"/>
      <c r="C277" s="6" t="s">
        <v>64</v>
      </c>
      <c r="D277" s="6" t="s">
        <v>50</v>
      </c>
      <c r="E277" s="6" t="s">
        <v>71</v>
      </c>
      <c r="F277" s="6"/>
      <c r="G277" s="46">
        <f>G278</f>
        <v>12358.900000000001</v>
      </c>
      <c r="H277" s="46">
        <f>H278</f>
        <v>13752.400000000001</v>
      </c>
      <c r="I277" s="46">
        <f t="shared" si="12"/>
        <v>14508.782000000001</v>
      </c>
      <c r="J277" s="46">
        <f t="shared" si="13"/>
        <v>15234.221100000002</v>
      </c>
    </row>
    <row r="278" spans="1:10" ht="25.5">
      <c r="A278" s="7" t="s">
        <v>36</v>
      </c>
      <c r="B278" s="61"/>
      <c r="C278" s="6" t="s">
        <v>64</v>
      </c>
      <c r="D278" s="6" t="s">
        <v>50</v>
      </c>
      <c r="E278" s="6" t="s">
        <v>72</v>
      </c>
      <c r="F278" s="6"/>
      <c r="G278" s="46">
        <f>SUM(G279:G284)</f>
        <v>12358.900000000001</v>
      </c>
      <c r="H278" s="46">
        <f>SUM(H279:H284)</f>
        <v>13752.400000000001</v>
      </c>
      <c r="I278" s="46">
        <f t="shared" si="12"/>
        <v>14508.782000000001</v>
      </c>
      <c r="J278" s="46">
        <f t="shared" si="13"/>
        <v>15234.221100000002</v>
      </c>
    </row>
    <row r="279" spans="1:10" ht="19.5" customHeight="1">
      <c r="A279" s="7" t="s">
        <v>209</v>
      </c>
      <c r="B279" s="61"/>
      <c r="C279" s="6" t="s">
        <v>64</v>
      </c>
      <c r="D279" s="6" t="s">
        <v>50</v>
      </c>
      <c r="E279" s="6" t="s">
        <v>72</v>
      </c>
      <c r="F279" s="6" t="s">
        <v>171</v>
      </c>
      <c r="G279" s="46">
        <v>7721.6</v>
      </c>
      <c r="H279" s="46">
        <v>13007</v>
      </c>
      <c r="I279" s="46">
        <f t="shared" si="12"/>
        <v>13722.384999999998</v>
      </c>
      <c r="J279" s="46">
        <f t="shared" si="13"/>
        <v>14408.504249999998</v>
      </c>
    </row>
    <row r="280" spans="1:10" ht="25.5">
      <c r="A280" s="7" t="s">
        <v>221</v>
      </c>
      <c r="B280" s="61"/>
      <c r="C280" s="6" t="s">
        <v>64</v>
      </c>
      <c r="D280" s="6" t="s">
        <v>50</v>
      </c>
      <c r="E280" s="6" t="s">
        <v>72</v>
      </c>
      <c r="F280" s="6" t="s">
        <v>220</v>
      </c>
      <c r="G280" s="46">
        <v>62.4</v>
      </c>
      <c r="H280" s="46">
        <v>67.2</v>
      </c>
      <c r="I280" s="46">
        <f t="shared" si="12"/>
        <v>70.896000000000001</v>
      </c>
      <c r="J280" s="46">
        <f t="shared" si="13"/>
        <v>74.44080000000001</v>
      </c>
    </row>
    <row r="281" spans="1:10" ht="25.5">
      <c r="A281" s="7" t="s">
        <v>205</v>
      </c>
      <c r="B281" s="61"/>
      <c r="C281" s="6" t="s">
        <v>64</v>
      </c>
      <c r="D281" s="6" t="s">
        <v>50</v>
      </c>
      <c r="E281" s="6" t="s">
        <v>72</v>
      </c>
      <c r="F281" s="6" t="s">
        <v>204</v>
      </c>
      <c r="G281" s="46">
        <v>88.6</v>
      </c>
      <c r="H281" s="46">
        <v>88.2</v>
      </c>
      <c r="I281" s="46">
        <f t="shared" si="12"/>
        <v>93.051000000000002</v>
      </c>
      <c r="J281" s="46">
        <f t="shared" si="13"/>
        <v>97.703550000000007</v>
      </c>
    </row>
    <row r="282" spans="1:10" ht="25.5">
      <c r="A282" s="7" t="s">
        <v>207</v>
      </c>
      <c r="B282" s="61"/>
      <c r="C282" s="6" t="s">
        <v>64</v>
      </c>
      <c r="D282" s="6" t="s">
        <v>50</v>
      </c>
      <c r="E282" s="6" t="s">
        <v>72</v>
      </c>
      <c r="F282" s="6" t="s">
        <v>168</v>
      </c>
      <c r="G282" s="46">
        <f>401.8+35.5</f>
        <v>437.3</v>
      </c>
      <c r="H282" s="46">
        <v>562.79999999999995</v>
      </c>
      <c r="I282" s="46">
        <f t="shared" si="12"/>
        <v>593.75399999999991</v>
      </c>
      <c r="J282" s="46">
        <f t="shared" si="13"/>
        <v>623.44169999999997</v>
      </c>
    </row>
    <row r="283" spans="1:10" ht="63.75">
      <c r="A283" s="7" t="s">
        <v>225</v>
      </c>
      <c r="B283" s="61"/>
      <c r="C283" s="6" t="s">
        <v>64</v>
      </c>
      <c r="D283" s="6" t="s">
        <v>50</v>
      </c>
      <c r="E283" s="6" t="s">
        <v>72</v>
      </c>
      <c r="F283" s="6" t="s">
        <v>180</v>
      </c>
      <c r="G283" s="46">
        <v>4029.8</v>
      </c>
      <c r="H283" s="46">
        <v>0</v>
      </c>
      <c r="I283" s="46">
        <f t="shared" si="12"/>
        <v>0</v>
      </c>
      <c r="J283" s="46">
        <f t="shared" si="13"/>
        <v>0</v>
      </c>
    </row>
    <row r="284" spans="1:10" ht="25.5">
      <c r="A284" s="7" t="s">
        <v>280</v>
      </c>
      <c r="B284" s="61"/>
      <c r="C284" s="6" t="s">
        <v>64</v>
      </c>
      <c r="D284" s="6" t="s">
        <v>50</v>
      </c>
      <c r="E284" s="6" t="s">
        <v>72</v>
      </c>
      <c r="F284" s="6" t="s">
        <v>189</v>
      </c>
      <c r="G284" s="46">
        <v>19.2</v>
      </c>
      <c r="H284" s="46">
        <v>27.2</v>
      </c>
      <c r="I284" s="46">
        <f t="shared" si="12"/>
        <v>28.695999999999998</v>
      </c>
      <c r="J284" s="46">
        <f t="shared" si="13"/>
        <v>30.130800000000001</v>
      </c>
    </row>
    <row r="285" spans="1:10" hidden="1">
      <c r="A285" s="7" t="s">
        <v>206</v>
      </c>
      <c r="B285" s="61"/>
      <c r="C285" s="6" t="s">
        <v>64</v>
      </c>
      <c r="D285" s="6" t="s">
        <v>50</v>
      </c>
      <c r="E285" s="6" t="s">
        <v>72</v>
      </c>
      <c r="F285" s="6"/>
      <c r="G285" s="46"/>
      <c r="H285" s="46"/>
      <c r="I285" s="46">
        <f t="shared" si="12"/>
        <v>0</v>
      </c>
      <c r="J285" s="46">
        <f t="shared" si="13"/>
        <v>0</v>
      </c>
    </row>
    <row r="286" spans="1:10" ht="25.5" hidden="1">
      <c r="A286" s="7" t="s">
        <v>248</v>
      </c>
      <c r="B286" s="61"/>
      <c r="C286" s="6" t="s">
        <v>64</v>
      </c>
      <c r="D286" s="6" t="s">
        <v>50</v>
      </c>
      <c r="E286" s="6" t="s">
        <v>247</v>
      </c>
      <c r="F286" s="6"/>
      <c r="G286" s="46"/>
      <c r="H286" s="46"/>
      <c r="I286" s="46">
        <f t="shared" si="12"/>
        <v>0</v>
      </c>
      <c r="J286" s="46">
        <f t="shared" si="13"/>
        <v>0</v>
      </c>
    </row>
    <row r="287" spans="1:10" ht="38.25" hidden="1">
      <c r="A287" s="7" t="s">
        <v>250</v>
      </c>
      <c r="B287" s="61"/>
      <c r="C287" s="6" t="s">
        <v>64</v>
      </c>
      <c r="D287" s="6" t="s">
        <v>50</v>
      </c>
      <c r="E287" s="6" t="s">
        <v>249</v>
      </c>
      <c r="F287" s="6"/>
      <c r="G287" s="46"/>
      <c r="H287" s="46"/>
      <c r="I287" s="46">
        <f t="shared" si="12"/>
        <v>0</v>
      </c>
      <c r="J287" s="46">
        <f t="shared" si="13"/>
        <v>0</v>
      </c>
    </row>
    <row r="288" spans="1:10" ht="63.75" hidden="1">
      <c r="A288" s="7" t="s">
        <v>225</v>
      </c>
      <c r="B288" s="61"/>
      <c r="C288" s="6" t="s">
        <v>64</v>
      </c>
      <c r="D288" s="6" t="s">
        <v>50</v>
      </c>
      <c r="E288" s="6" t="s">
        <v>249</v>
      </c>
      <c r="F288" s="6" t="s">
        <v>180</v>
      </c>
      <c r="G288" s="46"/>
      <c r="H288" s="46"/>
      <c r="I288" s="46">
        <f t="shared" si="12"/>
        <v>0</v>
      </c>
      <c r="J288" s="46">
        <f t="shared" si="13"/>
        <v>0</v>
      </c>
    </row>
    <row r="289" spans="1:10" ht="38.25" hidden="1">
      <c r="A289" s="7" t="s">
        <v>252</v>
      </c>
      <c r="B289" s="61"/>
      <c r="C289" s="6" t="s">
        <v>64</v>
      </c>
      <c r="D289" s="6" t="s">
        <v>50</v>
      </c>
      <c r="E289" s="6" t="s">
        <v>251</v>
      </c>
      <c r="F289" s="6"/>
      <c r="G289" s="46"/>
      <c r="H289" s="46"/>
      <c r="I289" s="46">
        <f t="shared" ref="I289:I356" si="14">H289*105.5%</f>
        <v>0</v>
      </c>
      <c r="J289" s="46">
        <f t="shared" ref="J289:J356" si="15">I289*105%</f>
        <v>0</v>
      </c>
    </row>
    <row r="290" spans="1:10" ht="63.75" hidden="1">
      <c r="A290" s="7" t="s">
        <v>225</v>
      </c>
      <c r="B290" s="61"/>
      <c r="C290" s="6" t="s">
        <v>64</v>
      </c>
      <c r="D290" s="6" t="s">
        <v>50</v>
      </c>
      <c r="E290" s="6" t="s">
        <v>251</v>
      </c>
      <c r="F290" s="6" t="s">
        <v>180</v>
      </c>
      <c r="G290" s="46"/>
      <c r="H290" s="46"/>
      <c r="I290" s="46">
        <f t="shared" si="14"/>
        <v>0</v>
      </c>
      <c r="J290" s="46">
        <f t="shared" si="15"/>
        <v>0</v>
      </c>
    </row>
    <row r="291" spans="1:10" hidden="1">
      <c r="A291" s="7" t="s">
        <v>74</v>
      </c>
      <c r="B291" s="61"/>
      <c r="C291" s="6" t="s">
        <v>64</v>
      </c>
      <c r="D291" s="6" t="s">
        <v>64</v>
      </c>
      <c r="E291" s="6"/>
      <c r="F291" s="6"/>
      <c r="G291" s="46"/>
      <c r="H291" s="46"/>
      <c r="I291" s="46">
        <f t="shared" si="14"/>
        <v>0</v>
      </c>
      <c r="J291" s="46">
        <f t="shared" si="15"/>
        <v>0</v>
      </c>
    </row>
    <row r="292" spans="1:10" ht="25.5" hidden="1">
      <c r="A292" s="7" t="s">
        <v>258</v>
      </c>
      <c r="B292" s="61"/>
      <c r="C292" s="6" t="s">
        <v>64</v>
      </c>
      <c r="D292" s="6" t="s">
        <v>64</v>
      </c>
      <c r="E292" s="6" t="s">
        <v>259</v>
      </c>
      <c r="F292" s="6"/>
      <c r="G292" s="46"/>
      <c r="H292" s="46"/>
      <c r="I292" s="46">
        <f t="shared" si="14"/>
        <v>0</v>
      </c>
      <c r="J292" s="46">
        <f t="shared" si="15"/>
        <v>0</v>
      </c>
    </row>
    <row r="293" spans="1:10" hidden="1">
      <c r="A293" s="7" t="s">
        <v>260</v>
      </c>
      <c r="B293" s="61"/>
      <c r="C293" s="6" t="s">
        <v>64</v>
      </c>
      <c r="D293" s="6" t="s">
        <v>64</v>
      </c>
      <c r="E293" s="6" t="s">
        <v>261</v>
      </c>
      <c r="F293" s="6"/>
      <c r="G293" s="46"/>
      <c r="H293" s="46"/>
      <c r="I293" s="46">
        <f t="shared" si="14"/>
        <v>0</v>
      </c>
      <c r="J293" s="46">
        <f t="shared" si="15"/>
        <v>0</v>
      </c>
    </row>
    <row r="294" spans="1:10" ht="63.75" hidden="1">
      <c r="A294" s="7" t="s">
        <v>225</v>
      </c>
      <c r="B294" s="61"/>
      <c r="C294" s="6" t="s">
        <v>64</v>
      </c>
      <c r="D294" s="6" t="s">
        <v>64</v>
      </c>
      <c r="E294" s="6" t="s">
        <v>261</v>
      </c>
      <c r="F294" s="6" t="s">
        <v>180</v>
      </c>
      <c r="G294" s="46"/>
      <c r="H294" s="46"/>
      <c r="I294" s="46">
        <f t="shared" si="14"/>
        <v>0</v>
      </c>
      <c r="J294" s="46">
        <f t="shared" si="15"/>
        <v>0</v>
      </c>
    </row>
    <row r="295" spans="1:10" ht="23.25" customHeight="1">
      <c r="A295" s="7" t="s">
        <v>75</v>
      </c>
      <c r="B295" s="61"/>
      <c r="C295" s="6" t="s">
        <v>64</v>
      </c>
      <c r="D295" s="6" t="s">
        <v>33</v>
      </c>
      <c r="E295" s="6"/>
      <c r="F295" s="6"/>
      <c r="G295" s="46">
        <f>G296+G300</f>
        <v>34330.300000000003</v>
      </c>
      <c r="H295" s="46">
        <f>H296+H300</f>
        <v>35695.4</v>
      </c>
      <c r="I295" s="46">
        <f t="shared" si="14"/>
        <v>37658.646999999997</v>
      </c>
      <c r="J295" s="46">
        <f t="shared" si="15"/>
        <v>39541.57935</v>
      </c>
    </row>
    <row r="296" spans="1:10" ht="51">
      <c r="A296" s="7" t="s">
        <v>329</v>
      </c>
      <c r="B296" s="61"/>
      <c r="C296" s="6" t="s">
        <v>64</v>
      </c>
      <c r="D296" s="6" t="s">
        <v>33</v>
      </c>
      <c r="E296" s="6" t="s">
        <v>327</v>
      </c>
      <c r="F296" s="6"/>
      <c r="G296" s="46">
        <f>G297+G298+G299</f>
        <v>18928.8</v>
      </c>
      <c r="H296" s="46">
        <f>H298</f>
        <v>24041.1</v>
      </c>
      <c r="I296" s="46">
        <f t="shared" si="14"/>
        <v>25363.360499999995</v>
      </c>
      <c r="J296" s="46">
        <f t="shared" si="15"/>
        <v>26631.528524999998</v>
      </c>
    </row>
    <row r="297" spans="1:10" ht="38.25">
      <c r="A297" s="7" t="s">
        <v>212</v>
      </c>
      <c r="B297" s="61"/>
      <c r="C297" s="6" t="s">
        <v>64</v>
      </c>
      <c r="D297" s="6" t="s">
        <v>33</v>
      </c>
      <c r="E297" s="6" t="s">
        <v>327</v>
      </c>
      <c r="F297" s="6" t="s">
        <v>184</v>
      </c>
      <c r="G297" s="46">
        <v>1029.3</v>
      </c>
      <c r="H297" s="46">
        <v>0</v>
      </c>
      <c r="I297" s="46">
        <v>0</v>
      </c>
      <c r="J297" s="46">
        <v>0</v>
      </c>
    </row>
    <row r="298" spans="1:10" ht="63.75">
      <c r="A298" s="7" t="s">
        <v>224</v>
      </c>
      <c r="B298" s="61"/>
      <c r="C298" s="6" t="s">
        <v>64</v>
      </c>
      <c r="D298" s="6" t="s">
        <v>33</v>
      </c>
      <c r="E298" s="6" t="s">
        <v>327</v>
      </c>
      <c r="F298" s="6" t="s">
        <v>183</v>
      </c>
      <c r="G298" s="46">
        <v>13039.7</v>
      </c>
      <c r="H298" s="46">
        <v>24041.1</v>
      </c>
      <c r="I298" s="46">
        <f t="shared" si="14"/>
        <v>25363.360499999995</v>
      </c>
      <c r="J298" s="46">
        <f t="shared" si="15"/>
        <v>26631.528524999998</v>
      </c>
    </row>
    <row r="299" spans="1:10" ht="25.5">
      <c r="A299" s="7" t="s">
        <v>355</v>
      </c>
      <c r="B299" s="61"/>
      <c r="C299" s="6" t="s">
        <v>64</v>
      </c>
      <c r="D299" s="6" t="s">
        <v>33</v>
      </c>
      <c r="E299" s="6" t="s">
        <v>327</v>
      </c>
      <c r="F299" s="6" t="s">
        <v>354</v>
      </c>
      <c r="G299" s="46">
        <v>4859.8</v>
      </c>
      <c r="H299" s="46">
        <v>0</v>
      </c>
      <c r="I299" s="46">
        <v>0</v>
      </c>
      <c r="J299" s="46">
        <v>0</v>
      </c>
    </row>
    <row r="300" spans="1:10" ht="76.5">
      <c r="A300" s="7" t="s">
        <v>95</v>
      </c>
      <c r="B300" s="61"/>
      <c r="C300" s="6" t="s">
        <v>64</v>
      </c>
      <c r="D300" s="6" t="s">
        <v>33</v>
      </c>
      <c r="E300" s="6" t="s">
        <v>79</v>
      </c>
      <c r="F300" s="6"/>
      <c r="G300" s="46">
        <f>SUM(G301:G308)</f>
        <v>15401.5</v>
      </c>
      <c r="H300" s="46">
        <f>SUM(H301:H308)</f>
        <v>11654.300000000003</v>
      </c>
      <c r="I300" s="46">
        <f t="shared" si="14"/>
        <v>12295.286500000002</v>
      </c>
      <c r="J300" s="46">
        <f t="shared" si="15"/>
        <v>12910.050825000002</v>
      </c>
    </row>
    <row r="301" spans="1:10">
      <c r="A301" s="7" t="s">
        <v>209</v>
      </c>
      <c r="B301" s="61"/>
      <c r="C301" s="6" t="s">
        <v>64</v>
      </c>
      <c r="D301" s="6" t="s">
        <v>33</v>
      </c>
      <c r="E301" s="6" t="s">
        <v>79</v>
      </c>
      <c r="F301" s="6" t="s">
        <v>171</v>
      </c>
      <c r="G301" s="46">
        <v>11171.5</v>
      </c>
      <c r="H301" s="46">
        <v>9298.6</v>
      </c>
      <c r="I301" s="46">
        <f t="shared" si="14"/>
        <v>9810.0229999999992</v>
      </c>
      <c r="J301" s="46">
        <f t="shared" si="15"/>
        <v>10300.524149999999</v>
      </c>
    </row>
    <row r="302" spans="1:10" ht="25.5">
      <c r="A302" s="7" t="s">
        <v>205</v>
      </c>
      <c r="B302" s="61"/>
      <c r="C302" s="6" t="s">
        <v>64</v>
      </c>
      <c r="D302" s="6" t="s">
        <v>33</v>
      </c>
      <c r="E302" s="6" t="s">
        <v>79</v>
      </c>
      <c r="F302" s="6" t="s">
        <v>204</v>
      </c>
      <c r="G302" s="46">
        <v>389.7</v>
      </c>
      <c r="H302" s="46">
        <v>473.6</v>
      </c>
      <c r="I302" s="46">
        <f t="shared" si="14"/>
        <v>499.64799999999997</v>
      </c>
      <c r="J302" s="46">
        <f t="shared" si="15"/>
        <v>524.63040000000001</v>
      </c>
    </row>
    <row r="303" spans="1:10" ht="38.25">
      <c r="A303" s="7" t="s">
        <v>223</v>
      </c>
      <c r="B303" s="61"/>
      <c r="C303" s="6" t="s">
        <v>64</v>
      </c>
      <c r="D303" s="6" t="s">
        <v>33</v>
      </c>
      <c r="E303" s="6" t="s">
        <v>79</v>
      </c>
      <c r="F303" s="6" t="s">
        <v>175</v>
      </c>
      <c r="G303" s="46">
        <v>1423.9</v>
      </c>
      <c r="H303" s="46">
        <v>0</v>
      </c>
      <c r="I303" s="46">
        <f t="shared" si="14"/>
        <v>0</v>
      </c>
      <c r="J303" s="46">
        <f t="shared" si="15"/>
        <v>0</v>
      </c>
    </row>
    <row r="304" spans="1:10" ht="25.5">
      <c r="A304" s="7" t="s">
        <v>207</v>
      </c>
      <c r="B304" s="61"/>
      <c r="C304" s="6" t="s">
        <v>64</v>
      </c>
      <c r="D304" s="6" t="s">
        <v>33</v>
      </c>
      <c r="E304" s="6" t="s">
        <v>79</v>
      </c>
      <c r="F304" s="6" t="s">
        <v>168</v>
      </c>
      <c r="G304" s="46">
        <v>1614.3</v>
      </c>
      <c r="H304" s="46">
        <v>1124.2</v>
      </c>
      <c r="I304" s="46">
        <f t="shared" si="14"/>
        <v>1186.0309999999999</v>
      </c>
      <c r="J304" s="46">
        <f t="shared" si="15"/>
        <v>1245.3325500000001</v>
      </c>
    </row>
    <row r="305" spans="1:10" ht="16.5" customHeight="1">
      <c r="A305" s="7" t="s">
        <v>218</v>
      </c>
      <c r="B305" s="61"/>
      <c r="C305" s="6" t="s">
        <v>64</v>
      </c>
      <c r="D305" s="6" t="s">
        <v>33</v>
      </c>
      <c r="E305" s="6" t="s">
        <v>79</v>
      </c>
      <c r="F305" s="6" t="s">
        <v>216</v>
      </c>
      <c r="G305" s="46">
        <v>30</v>
      </c>
      <c r="H305" s="46">
        <v>150</v>
      </c>
      <c r="I305" s="46">
        <f t="shared" si="14"/>
        <v>158.25</v>
      </c>
      <c r="J305" s="46">
        <f t="shared" si="15"/>
        <v>166.16249999999999</v>
      </c>
    </row>
    <row r="306" spans="1:10" ht="102">
      <c r="A306" s="7" t="s">
        <v>219</v>
      </c>
      <c r="B306" s="61"/>
      <c r="C306" s="6" t="s">
        <v>64</v>
      </c>
      <c r="D306" s="6" t="s">
        <v>33</v>
      </c>
      <c r="E306" s="6" t="s">
        <v>79</v>
      </c>
      <c r="F306" s="6" t="s">
        <v>217</v>
      </c>
      <c r="G306" s="46">
        <v>750</v>
      </c>
      <c r="H306" s="46">
        <v>583.70000000000005</v>
      </c>
      <c r="I306" s="46">
        <f t="shared" si="14"/>
        <v>615.80349999999999</v>
      </c>
      <c r="J306" s="46">
        <f t="shared" si="15"/>
        <v>646.59367499999996</v>
      </c>
    </row>
    <row r="307" spans="1:10" ht="25.5">
      <c r="A307" s="7" t="s">
        <v>372</v>
      </c>
      <c r="B307" s="61"/>
      <c r="C307" s="6" t="s">
        <v>64</v>
      </c>
      <c r="D307" s="6" t="s">
        <v>33</v>
      </c>
      <c r="E307" s="6" t="s">
        <v>79</v>
      </c>
      <c r="F307" s="6" t="s">
        <v>189</v>
      </c>
      <c r="G307" s="46">
        <v>12.1</v>
      </c>
      <c r="H307" s="46">
        <v>9.1999999999999993</v>
      </c>
      <c r="I307" s="46">
        <f t="shared" si="14"/>
        <v>9.7059999999999995</v>
      </c>
      <c r="J307" s="46">
        <f t="shared" si="15"/>
        <v>10.1913</v>
      </c>
    </row>
    <row r="308" spans="1:10">
      <c r="A308" s="7" t="s">
        <v>206</v>
      </c>
      <c r="B308" s="61"/>
      <c r="C308" s="6" t="s">
        <v>64</v>
      </c>
      <c r="D308" s="6" t="s">
        <v>33</v>
      </c>
      <c r="E308" s="6" t="s">
        <v>79</v>
      </c>
      <c r="F308" s="6" t="s">
        <v>192</v>
      </c>
      <c r="G308" s="46">
        <v>10</v>
      </c>
      <c r="H308" s="46">
        <v>15</v>
      </c>
      <c r="I308" s="46">
        <f t="shared" si="14"/>
        <v>15.824999999999999</v>
      </c>
      <c r="J308" s="46">
        <f t="shared" si="15"/>
        <v>16.616250000000001</v>
      </c>
    </row>
    <row r="309" spans="1:10" hidden="1">
      <c r="A309" s="7" t="s">
        <v>232</v>
      </c>
      <c r="B309" s="61"/>
      <c r="C309" s="6" t="s">
        <v>94</v>
      </c>
      <c r="D309" s="6"/>
      <c r="E309" s="6"/>
      <c r="F309" s="6"/>
      <c r="G309" s="46"/>
      <c r="H309" s="46"/>
      <c r="I309" s="46">
        <f t="shared" si="14"/>
        <v>0</v>
      </c>
      <c r="J309" s="46">
        <f t="shared" si="15"/>
        <v>0</v>
      </c>
    </row>
    <row r="310" spans="1:10" hidden="1">
      <c r="A310" s="7" t="s">
        <v>233</v>
      </c>
      <c r="B310" s="61"/>
      <c r="C310" s="6" t="s">
        <v>94</v>
      </c>
      <c r="D310" s="6" t="s">
        <v>19</v>
      </c>
      <c r="E310" s="6"/>
      <c r="F310" s="6"/>
      <c r="G310" s="46"/>
      <c r="H310" s="46"/>
      <c r="I310" s="46">
        <f t="shared" si="14"/>
        <v>0</v>
      </c>
      <c r="J310" s="46">
        <f t="shared" si="15"/>
        <v>0</v>
      </c>
    </row>
    <row r="311" spans="1:10" ht="38.25" hidden="1">
      <c r="A311" s="7" t="s">
        <v>234</v>
      </c>
      <c r="B311" s="6"/>
      <c r="C311" s="6" t="s">
        <v>94</v>
      </c>
      <c r="D311" s="6" t="s">
        <v>19</v>
      </c>
      <c r="E311" s="6" t="s">
        <v>235</v>
      </c>
      <c r="F311" s="6"/>
      <c r="G311" s="46"/>
      <c r="H311" s="46"/>
      <c r="I311" s="46">
        <f t="shared" si="14"/>
        <v>0</v>
      </c>
      <c r="J311" s="46">
        <f t="shared" si="15"/>
        <v>0</v>
      </c>
    </row>
    <row r="312" spans="1:10" ht="51" hidden="1">
      <c r="A312" s="29" t="s">
        <v>256</v>
      </c>
      <c r="B312" s="61"/>
      <c r="C312" s="6" t="s">
        <v>94</v>
      </c>
      <c r="D312" s="6" t="s">
        <v>19</v>
      </c>
      <c r="E312" s="6" t="s">
        <v>236</v>
      </c>
      <c r="F312" s="6"/>
      <c r="G312" s="46"/>
      <c r="H312" s="46"/>
      <c r="I312" s="46">
        <f t="shared" si="14"/>
        <v>0</v>
      </c>
      <c r="J312" s="46">
        <f t="shared" si="15"/>
        <v>0</v>
      </c>
    </row>
    <row r="313" spans="1:10" ht="25.5" hidden="1">
      <c r="A313" s="7" t="s">
        <v>292</v>
      </c>
      <c r="B313" s="61"/>
      <c r="C313" s="6" t="s">
        <v>94</v>
      </c>
      <c r="D313" s="6" t="s">
        <v>19</v>
      </c>
      <c r="E313" s="6" t="s">
        <v>236</v>
      </c>
      <c r="F313" s="6" t="s">
        <v>291</v>
      </c>
      <c r="G313" s="46"/>
      <c r="H313" s="46"/>
      <c r="I313" s="46">
        <f t="shared" si="14"/>
        <v>0</v>
      </c>
      <c r="J313" s="46">
        <f t="shared" si="15"/>
        <v>0</v>
      </c>
    </row>
    <row r="314" spans="1:10" ht="63.75" hidden="1">
      <c r="A314" s="29" t="s">
        <v>255</v>
      </c>
      <c r="B314" s="61"/>
      <c r="C314" s="6" t="s">
        <v>94</v>
      </c>
      <c r="D314" s="6" t="s">
        <v>19</v>
      </c>
      <c r="E314" s="6" t="s">
        <v>253</v>
      </c>
      <c r="F314" s="6"/>
      <c r="G314" s="46"/>
      <c r="H314" s="46"/>
      <c r="I314" s="46">
        <f t="shared" si="14"/>
        <v>0</v>
      </c>
      <c r="J314" s="46">
        <f t="shared" si="15"/>
        <v>0</v>
      </c>
    </row>
    <row r="315" spans="1:10" ht="76.5" hidden="1">
      <c r="A315" s="29" t="s">
        <v>257</v>
      </c>
      <c r="B315" s="61"/>
      <c r="C315" s="6" t="s">
        <v>94</v>
      </c>
      <c r="D315" s="6" t="s">
        <v>19</v>
      </c>
      <c r="E315" s="6" t="s">
        <v>254</v>
      </c>
      <c r="F315" s="6"/>
      <c r="G315" s="46"/>
      <c r="H315" s="46"/>
      <c r="I315" s="46">
        <f t="shared" si="14"/>
        <v>0</v>
      </c>
      <c r="J315" s="46">
        <f t="shared" si="15"/>
        <v>0</v>
      </c>
    </row>
    <row r="316" spans="1:10" ht="25.5" hidden="1">
      <c r="A316" s="7" t="s">
        <v>292</v>
      </c>
      <c r="B316" s="61"/>
      <c r="C316" s="6" t="s">
        <v>94</v>
      </c>
      <c r="D316" s="6" t="s">
        <v>19</v>
      </c>
      <c r="E316" s="6" t="s">
        <v>254</v>
      </c>
      <c r="F316" s="6" t="s">
        <v>291</v>
      </c>
      <c r="G316" s="46"/>
      <c r="H316" s="46"/>
      <c r="I316" s="46">
        <f t="shared" si="14"/>
        <v>0</v>
      </c>
      <c r="J316" s="46">
        <f t="shared" si="15"/>
        <v>0</v>
      </c>
    </row>
    <row r="317" spans="1:10" ht="38.25" hidden="1">
      <c r="A317" s="7" t="s">
        <v>240</v>
      </c>
      <c r="B317" s="61"/>
      <c r="C317" s="6" t="s">
        <v>94</v>
      </c>
      <c r="D317" s="6" t="s">
        <v>19</v>
      </c>
      <c r="E317" s="6" t="s">
        <v>241</v>
      </c>
      <c r="F317" s="6"/>
      <c r="G317" s="46"/>
      <c r="H317" s="46"/>
      <c r="I317" s="46">
        <f t="shared" si="14"/>
        <v>0</v>
      </c>
      <c r="J317" s="46">
        <f t="shared" si="15"/>
        <v>0</v>
      </c>
    </row>
    <row r="318" spans="1:10" ht="25.5" hidden="1">
      <c r="A318" s="7" t="s">
        <v>292</v>
      </c>
      <c r="B318" s="61"/>
      <c r="C318" s="6" t="s">
        <v>94</v>
      </c>
      <c r="D318" s="6" t="s">
        <v>19</v>
      </c>
      <c r="E318" s="6" t="s">
        <v>241</v>
      </c>
      <c r="F318" s="6" t="s">
        <v>291</v>
      </c>
      <c r="G318" s="46"/>
      <c r="H318" s="46"/>
      <c r="I318" s="46">
        <f t="shared" si="14"/>
        <v>0</v>
      </c>
      <c r="J318" s="46">
        <f t="shared" si="15"/>
        <v>0</v>
      </c>
    </row>
    <row r="319" spans="1:10" ht="25.5" hidden="1">
      <c r="A319" s="7" t="s">
        <v>238</v>
      </c>
      <c r="B319" s="61"/>
      <c r="C319" s="6" t="s">
        <v>94</v>
      </c>
      <c r="D319" s="6" t="s">
        <v>19</v>
      </c>
      <c r="E319" s="6" t="s">
        <v>242</v>
      </c>
      <c r="F319" s="6"/>
      <c r="G319" s="46"/>
      <c r="H319" s="46"/>
      <c r="I319" s="46">
        <f t="shared" si="14"/>
        <v>0</v>
      </c>
      <c r="J319" s="46">
        <f t="shared" si="15"/>
        <v>0</v>
      </c>
    </row>
    <row r="320" spans="1:10" ht="25.5" hidden="1">
      <c r="A320" s="7" t="s">
        <v>292</v>
      </c>
      <c r="B320" s="61"/>
      <c r="C320" s="6" t="s">
        <v>94</v>
      </c>
      <c r="D320" s="6" t="s">
        <v>19</v>
      </c>
      <c r="E320" s="6" t="s">
        <v>242</v>
      </c>
      <c r="F320" s="6" t="s">
        <v>291</v>
      </c>
      <c r="G320" s="46"/>
      <c r="H320" s="46"/>
      <c r="I320" s="46">
        <f t="shared" si="14"/>
        <v>0</v>
      </c>
      <c r="J320" s="46">
        <f t="shared" si="15"/>
        <v>0</v>
      </c>
    </row>
    <row r="321" spans="1:10" ht="38.25" hidden="1">
      <c r="A321" s="7" t="s">
        <v>239</v>
      </c>
      <c r="B321" s="61"/>
      <c r="C321" s="6" t="s">
        <v>94</v>
      </c>
      <c r="D321" s="6" t="s">
        <v>19</v>
      </c>
      <c r="E321" s="6" t="s">
        <v>243</v>
      </c>
      <c r="F321" s="6"/>
      <c r="G321" s="46"/>
      <c r="H321" s="46"/>
      <c r="I321" s="46">
        <f t="shared" si="14"/>
        <v>0</v>
      </c>
      <c r="J321" s="46">
        <f t="shared" si="15"/>
        <v>0</v>
      </c>
    </row>
    <row r="322" spans="1:10" ht="25.5" hidden="1">
      <c r="A322" s="7" t="s">
        <v>292</v>
      </c>
      <c r="B322" s="61"/>
      <c r="C322" s="6" t="s">
        <v>94</v>
      </c>
      <c r="D322" s="6" t="s">
        <v>19</v>
      </c>
      <c r="E322" s="6" t="s">
        <v>243</v>
      </c>
      <c r="F322" s="6" t="s">
        <v>291</v>
      </c>
      <c r="G322" s="46"/>
      <c r="H322" s="46"/>
      <c r="I322" s="46">
        <f t="shared" si="14"/>
        <v>0</v>
      </c>
      <c r="J322" s="46">
        <f t="shared" si="15"/>
        <v>0</v>
      </c>
    </row>
    <row r="323" spans="1:10" ht="38.25">
      <c r="A323" s="1" t="s">
        <v>120</v>
      </c>
      <c r="B323" s="67">
        <v>875</v>
      </c>
      <c r="C323" s="5"/>
      <c r="D323" s="5"/>
      <c r="E323" s="5"/>
      <c r="F323" s="5"/>
      <c r="G323" s="45">
        <f>G324+G330</f>
        <v>54780</v>
      </c>
      <c r="H323" s="45">
        <f>H324+H330</f>
        <v>41655.499999999993</v>
      </c>
      <c r="I323" s="46">
        <f>I324+I330</f>
        <v>47024.552499999991</v>
      </c>
      <c r="J323" s="46">
        <f>J324+J330</f>
        <v>49700.780124999997</v>
      </c>
    </row>
    <row r="324" spans="1:10">
      <c r="A324" s="7" t="s">
        <v>63</v>
      </c>
      <c r="B324" s="61"/>
      <c r="C324" s="6" t="s">
        <v>64</v>
      </c>
      <c r="D324" s="6"/>
      <c r="E324" s="6"/>
      <c r="F324" s="6"/>
      <c r="G324" s="46">
        <f>G325</f>
        <v>35184.199999999997</v>
      </c>
      <c r="H324" s="46">
        <f>H325</f>
        <v>39876.999999999993</v>
      </c>
      <c r="I324" s="46">
        <f t="shared" si="14"/>
        <v>42070.234999999993</v>
      </c>
      <c r="J324" s="46">
        <f t="shared" si="15"/>
        <v>44173.746749999998</v>
      </c>
    </row>
    <row r="325" spans="1:10">
      <c r="A325" s="7" t="s">
        <v>70</v>
      </c>
      <c r="B325" s="61"/>
      <c r="C325" s="6" t="s">
        <v>64</v>
      </c>
      <c r="D325" s="6" t="s">
        <v>50</v>
      </c>
      <c r="E325" s="6" t="s">
        <v>72</v>
      </c>
      <c r="F325" s="6"/>
      <c r="G325" s="46">
        <f>SUM(G326:G329)</f>
        <v>35184.199999999997</v>
      </c>
      <c r="H325" s="46">
        <f>SUM(H326:H329)</f>
        <v>39876.999999999993</v>
      </c>
      <c r="I325" s="46">
        <f t="shared" si="14"/>
        <v>42070.234999999993</v>
      </c>
      <c r="J325" s="46">
        <f t="shared" si="15"/>
        <v>44173.746749999998</v>
      </c>
    </row>
    <row r="326" spans="1:10" ht="51">
      <c r="A326" s="7" t="s">
        <v>289</v>
      </c>
      <c r="B326" s="61"/>
      <c r="C326" s="6" t="s">
        <v>64</v>
      </c>
      <c r="D326" s="6" t="s">
        <v>50</v>
      </c>
      <c r="E326" s="6" t="s">
        <v>72</v>
      </c>
      <c r="F326" s="6" t="s">
        <v>171</v>
      </c>
      <c r="G326" s="46">
        <v>34713.4</v>
      </c>
      <c r="H326" s="46">
        <v>39324.6</v>
      </c>
      <c r="I326" s="46">
        <f t="shared" si="14"/>
        <v>41487.452999999994</v>
      </c>
      <c r="J326" s="46">
        <f t="shared" si="15"/>
        <v>43561.825649999999</v>
      </c>
    </row>
    <row r="327" spans="1:10" ht="25.5">
      <c r="A327" s="7" t="s">
        <v>290</v>
      </c>
      <c r="B327" s="61"/>
      <c r="C327" s="6" t="s">
        <v>64</v>
      </c>
      <c r="D327" s="6" t="s">
        <v>50</v>
      </c>
      <c r="E327" s="6" t="s">
        <v>72</v>
      </c>
      <c r="F327" s="6" t="s">
        <v>204</v>
      </c>
      <c r="G327" s="46">
        <v>29.1</v>
      </c>
      <c r="H327" s="46">
        <v>65.2</v>
      </c>
      <c r="I327" s="46">
        <f t="shared" si="14"/>
        <v>68.786000000000001</v>
      </c>
      <c r="J327" s="46">
        <f t="shared" si="15"/>
        <v>72.225300000000004</v>
      </c>
    </row>
    <row r="328" spans="1:10" ht="25.5">
      <c r="A328" s="7" t="s">
        <v>207</v>
      </c>
      <c r="B328" s="61"/>
      <c r="C328" s="6" t="s">
        <v>64</v>
      </c>
      <c r="D328" s="6" t="s">
        <v>50</v>
      </c>
      <c r="E328" s="6" t="s">
        <v>72</v>
      </c>
      <c r="F328" s="6" t="s">
        <v>168</v>
      </c>
      <c r="G328" s="46">
        <v>329.7</v>
      </c>
      <c r="H328" s="46">
        <v>433.2</v>
      </c>
      <c r="I328" s="46">
        <f t="shared" si="14"/>
        <v>457.02599999999995</v>
      </c>
      <c r="J328" s="46">
        <f t="shared" si="15"/>
        <v>479.87729999999999</v>
      </c>
    </row>
    <row r="329" spans="1:10" ht="25.5">
      <c r="A329" s="7" t="s">
        <v>372</v>
      </c>
      <c r="B329" s="61"/>
      <c r="C329" s="6" t="s">
        <v>64</v>
      </c>
      <c r="D329" s="6" t="s">
        <v>50</v>
      </c>
      <c r="E329" s="6" t="s">
        <v>72</v>
      </c>
      <c r="F329" s="6" t="s">
        <v>189</v>
      </c>
      <c r="G329" s="46">
        <v>112</v>
      </c>
      <c r="H329" s="46">
        <v>54</v>
      </c>
      <c r="I329" s="46">
        <f t="shared" si="14"/>
        <v>56.97</v>
      </c>
      <c r="J329" s="46">
        <f t="shared" si="15"/>
        <v>59.8185</v>
      </c>
    </row>
    <row r="330" spans="1:10" ht="18" customHeight="1">
      <c r="A330" s="7" t="s">
        <v>137</v>
      </c>
      <c r="B330" s="61"/>
      <c r="C330" s="6" t="s">
        <v>22</v>
      </c>
      <c r="D330" s="6"/>
      <c r="E330" s="6"/>
      <c r="F330" s="6"/>
      <c r="G330" s="46">
        <f>G331+G340</f>
        <v>19595.8</v>
      </c>
      <c r="H330" s="46">
        <f>H331+H340</f>
        <v>1778.5</v>
      </c>
      <c r="I330" s="46">
        <f>I331+I340</f>
        <v>4954.3175000000001</v>
      </c>
      <c r="J330" s="46">
        <f>J331+J340</f>
        <v>5527.033375</v>
      </c>
    </row>
    <row r="331" spans="1:10" ht="25.5">
      <c r="A331" s="7" t="s">
        <v>331</v>
      </c>
      <c r="B331" s="61"/>
      <c r="C331" s="6" t="s">
        <v>22</v>
      </c>
      <c r="D331" s="6" t="s">
        <v>10</v>
      </c>
      <c r="E331" s="6"/>
      <c r="F331" s="6"/>
      <c r="G331" s="46">
        <f>G332+G333+G334</f>
        <v>18081.5</v>
      </c>
      <c r="H331" s="46">
        <f>H332</f>
        <v>400</v>
      </c>
      <c r="I331" s="46">
        <v>3500</v>
      </c>
      <c r="J331" s="46">
        <v>4000</v>
      </c>
    </row>
    <row r="332" spans="1:10" ht="38.25">
      <c r="A332" s="7" t="s">
        <v>223</v>
      </c>
      <c r="B332" s="61"/>
      <c r="C332" s="6" t="s">
        <v>22</v>
      </c>
      <c r="D332" s="6" t="s">
        <v>10</v>
      </c>
      <c r="E332" s="6" t="s">
        <v>330</v>
      </c>
      <c r="F332" s="6" t="s">
        <v>175</v>
      </c>
      <c r="G332" s="46">
        <v>300</v>
      </c>
      <c r="H332" s="46">
        <v>400</v>
      </c>
      <c r="I332" s="46">
        <v>3500</v>
      </c>
      <c r="J332" s="46">
        <v>4000</v>
      </c>
    </row>
    <row r="333" spans="1:10" ht="25.5">
      <c r="A333" s="7" t="s">
        <v>207</v>
      </c>
      <c r="B333" s="61"/>
      <c r="C333" s="6" t="s">
        <v>22</v>
      </c>
      <c r="D333" s="6" t="s">
        <v>10</v>
      </c>
      <c r="E333" s="6" t="s">
        <v>330</v>
      </c>
      <c r="F333" s="6" t="s">
        <v>168</v>
      </c>
      <c r="G333" s="46">
        <v>2156.9</v>
      </c>
      <c r="H333" s="46">
        <v>0</v>
      </c>
      <c r="I333" s="46">
        <f t="shared" si="14"/>
        <v>0</v>
      </c>
      <c r="J333" s="46">
        <f t="shared" si="15"/>
        <v>0</v>
      </c>
    </row>
    <row r="334" spans="1:10" ht="51">
      <c r="A334" s="7" t="s">
        <v>325</v>
      </c>
      <c r="B334" s="61"/>
      <c r="C334" s="6" t="s">
        <v>22</v>
      </c>
      <c r="D334" s="6" t="s">
        <v>10</v>
      </c>
      <c r="E334" s="6" t="s">
        <v>330</v>
      </c>
      <c r="F334" s="6" t="s">
        <v>326</v>
      </c>
      <c r="G334" s="46">
        <v>15624.6</v>
      </c>
      <c r="H334" s="46">
        <v>0</v>
      </c>
      <c r="I334" s="46">
        <v>0</v>
      </c>
      <c r="J334" s="46">
        <v>0</v>
      </c>
    </row>
    <row r="335" spans="1:10" ht="25.5" hidden="1">
      <c r="A335" s="7" t="s">
        <v>139</v>
      </c>
      <c r="B335" s="61"/>
      <c r="C335" s="6" t="s">
        <v>22</v>
      </c>
      <c r="D335" s="6" t="s">
        <v>44</v>
      </c>
      <c r="E335" s="6"/>
      <c r="F335" s="6"/>
      <c r="G335" s="46"/>
      <c r="H335" s="46"/>
      <c r="I335" s="46">
        <f t="shared" si="14"/>
        <v>0</v>
      </c>
      <c r="J335" s="46">
        <f t="shared" si="15"/>
        <v>0</v>
      </c>
    </row>
    <row r="336" spans="1:10" ht="38.25" hidden="1">
      <c r="A336" s="70" t="s">
        <v>186</v>
      </c>
      <c r="B336" s="67"/>
      <c r="C336" s="6" t="s">
        <v>22</v>
      </c>
      <c r="D336" s="6" t="s">
        <v>44</v>
      </c>
      <c r="E336" s="6" t="s">
        <v>152</v>
      </c>
      <c r="F336" s="6"/>
      <c r="G336" s="46"/>
      <c r="H336" s="46"/>
      <c r="I336" s="46">
        <f t="shared" si="14"/>
        <v>0</v>
      </c>
      <c r="J336" s="46">
        <f t="shared" si="15"/>
        <v>0</v>
      </c>
    </row>
    <row r="337" spans="1:10" ht="25.5" hidden="1">
      <c r="A337" s="7" t="s">
        <v>205</v>
      </c>
      <c r="B337" s="67"/>
      <c r="C337" s="6" t="s">
        <v>22</v>
      </c>
      <c r="D337" s="6" t="s">
        <v>44</v>
      </c>
      <c r="E337" s="6" t="s">
        <v>152</v>
      </c>
      <c r="F337" s="6" t="s">
        <v>204</v>
      </c>
      <c r="G337" s="46"/>
      <c r="H337" s="46"/>
      <c r="I337" s="46">
        <f t="shared" si="14"/>
        <v>0</v>
      </c>
      <c r="J337" s="46">
        <f t="shared" si="15"/>
        <v>0</v>
      </c>
    </row>
    <row r="338" spans="1:10" ht="38.25" hidden="1">
      <c r="A338" s="7" t="s">
        <v>223</v>
      </c>
      <c r="B338" s="61"/>
      <c r="C338" s="6" t="s">
        <v>22</v>
      </c>
      <c r="D338" s="6" t="s">
        <v>44</v>
      </c>
      <c r="E338" s="6" t="s">
        <v>152</v>
      </c>
      <c r="F338" s="6" t="s">
        <v>175</v>
      </c>
      <c r="G338" s="46"/>
      <c r="H338" s="46"/>
      <c r="I338" s="46">
        <f t="shared" si="14"/>
        <v>0</v>
      </c>
      <c r="J338" s="46">
        <f t="shared" si="15"/>
        <v>0</v>
      </c>
    </row>
    <row r="339" spans="1:10" ht="25.5" hidden="1">
      <c r="A339" s="7" t="s">
        <v>207</v>
      </c>
      <c r="B339" s="61"/>
      <c r="C339" s="6" t="s">
        <v>22</v>
      </c>
      <c r="D339" s="6" t="s">
        <v>44</v>
      </c>
      <c r="E339" s="6" t="s">
        <v>152</v>
      </c>
      <c r="F339" s="6" t="s">
        <v>168</v>
      </c>
      <c r="G339" s="46"/>
      <c r="H339" s="46"/>
      <c r="I339" s="46">
        <f t="shared" si="14"/>
        <v>0</v>
      </c>
      <c r="J339" s="46">
        <f t="shared" si="15"/>
        <v>0</v>
      </c>
    </row>
    <row r="340" spans="1:10" ht="76.5">
      <c r="A340" s="7" t="s">
        <v>95</v>
      </c>
      <c r="B340" s="61"/>
      <c r="C340" s="6" t="s">
        <v>22</v>
      </c>
      <c r="D340" s="6" t="s">
        <v>44</v>
      </c>
      <c r="E340" s="6" t="s">
        <v>79</v>
      </c>
      <c r="F340" s="6"/>
      <c r="G340" s="46">
        <f>SUM(G341:G344)</f>
        <v>1514.3</v>
      </c>
      <c r="H340" s="46">
        <f>SUM(H341:H344)</f>
        <v>1378.5</v>
      </c>
      <c r="I340" s="46">
        <f t="shared" si="14"/>
        <v>1454.3174999999999</v>
      </c>
      <c r="J340" s="46">
        <f t="shared" si="15"/>
        <v>1527.033375</v>
      </c>
    </row>
    <row r="341" spans="1:10" ht="22.5" customHeight="1">
      <c r="A341" s="7" t="s">
        <v>209</v>
      </c>
      <c r="B341" s="61"/>
      <c r="C341" s="6" t="s">
        <v>22</v>
      </c>
      <c r="D341" s="6" t="s">
        <v>44</v>
      </c>
      <c r="E341" s="6" t="s">
        <v>79</v>
      </c>
      <c r="F341" s="6" t="s">
        <v>171</v>
      </c>
      <c r="G341" s="46">
        <v>1103.5</v>
      </c>
      <c r="H341" s="46">
        <v>1169.8</v>
      </c>
      <c r="I341" s="46">
        <f t="shared" si="14"/>
        <v>1234.1389999999999</v>
      </c>
      <c r="J341" s="46">
        <f t="shared" si="15"/>
        <v>1295.8459499999999</v>
      </c>
    </row>
    <row r="342" spans="1:10" ht="25.5">
      <c r="A342" s="7" t="s">
        <v>205</v>
      </c>
      <c r="B342" s="61"/>
      <c r="C342" s="6" t="s">
        <v>22</v>
      </c>
      <c r="D342" s="6" t="s">
        <v>44</v>
      </c>
      <c r="E342" s="6" t="s">
        <v>79</v>
      </c>
      <c r="F342" s="6" t="s">
        <v>204</v>
      </c>
      <c r="G342" s="46">
        <v>161.9</v>
      </c>
      <c r="H342" s="46">
        <v>157.5</v>
      </c>
      <c r="I342" s="46">
        <f t="shared" si="14"/>
        <v>166.16249999999999</v>
      </c>
      <c r="J342" s="46">
        <f t="shared" si="15"/>
        <v>174.47062500000001</v>
      </c>
    </row>
    <row r="343" spans="1:10" ht="25.5">
      <c r="A343" s="7" t="s">
        <v>207</v>
      </c>
      <c r="B343" s="61"/>
      <c r="C343" s="6" t="s">
        <v>22</v>
      </c>
      <c r="D343" s="6" t="s">
        <v>44</v>
      </c>
      <c r="E343" s="6" t="s">
        <v>79</v>
      </c>
      <c r="F343" s="6" t="s">
        <v>168</v>
      </c>
      <c r="G343" s="46">
        <v>237.8</v>
      </c>
      <c r="H343" s="46">
        <v>46</v>
      </c>
      <c r="I343" s="46">
        <f t="shared" si="14"/>
        <v>48.529999999999994</v>
      </c>
      <c r="J343" s="46">
        <f t="shared" si="15"/>
        <v>50.956499999999998</v>
      </c>
    </row>
    <row r="344" spans="1:10" ht="25.5">
      <c r="A344" s="7" t="s">
        <v>280</v>
      </c>
      <c r="B344" s="61"/>
      <c r="C344" s="6" t="s">
        <v>22</v>
      </c>
      <c r="D344" s="6" t="s">
        <v>44</v>
      </c>
      <c r="E344" s="6" t="s">
        <v>79</v>
      </c>
      <c r="F344" s="6" t="s">
        <v>189</v>
      </c>
      <c r="G344" s="46">
        <v>11.1</v>
      </c>
      <c r="H344" s="46">
        <v>5.2</v>
      </c>
      <c r="I344" s="46">
        <f t="shared" si="14"/>
        <v>5.4859999999999998</v>
      </c>
      <c r="J344" s="46">
        <f t="shared" si="15"/>
        <v>5.7603</v>
      </c>
    </row>
    <row r="345" spans="1:10" ht="38.25">
      <c r="A345" s="1" t="s">
        <v>121</v>
      </c>
      <c r="B345" s="67">
        <v>892</v>
      </c>
      <c r="C345" s="5"/>
      <c r="D345" s="5"/>
      <c r="E345" s="5"/>
      <c r="F345" s="5"/>
      <c r="G345" s="45">
        <f>G346+G361</f>
        <v>24207.5</v>
      </c>
      <c r="H345" s="45">
        <f>H346+H361</f>
        <v>28501.300000000003</v>
      </c>
      <c r="I345" s="45">
        <v>28859</v>
      </c>
      <c r="J345" s="45">
        <v>92525.1</v>
      </c>
    </row>
    <row r="346" spans="1:10">
      <c r="A346" s="7" t="s">
        <v>9</v>
      </c>
      <c r="B346" s="61"/>
      <c r="C346" s="6" t="s">
        <v>10</v>
      </c>
      <c r="D346" s="62"/>
      <c r="E346" s="62"/>
      <c r="F346" s="62"/>
      <c r="G346" s="46">
        <f>G347+G357</f>
        <v>19307.599999999999</v>
      </c>
      <c r="H346" s="46">
        <f>H347+H357</f>
        <v>23601.4</v>
      </c>
      <c r="I346" s="46">
        <v>25540.400000000001</v>
      </c>
      <c r="J346" s="46">
        <v>25442.5</v>
      </c>
    </row>
    <row r="347" spans="1:10" ht="38.25">
      <c r="A347" s="7" t="s">
        <v>133</v>
      </c>
      <c r="B347" s="61"/>
      <c r="C347" s="6" t="s">
        <v>10</v>
      </c>
      <c r="D347" s="6" t="s">
        <v>89</v>
      </c>
      <c r="E347" s="6"/>
      <c r="F347" s="6"/>
      <c r="G347" s="46">
        <f t="shared" ref="G347:H349" si="16">G348</f>
        <v>16244.8</v>
      </c>
      <c r="H347" s="46">
        <f t="shared" si="16"/>
        <v>17101.400000000001</v>
      </c>
      <c r="I347" s="46">
        <f t="shared" si="14"/>
        <v>18041.976999999999</v>
      </c>
      <c r="J347" s="46">
        <f t="shared" si="15"/>
        <v>18944.075850000001</v>
      </c>
    </row>
    <row r="348" spans="1:10" ht="51">
      <c r="A348" s="7" t="s">
        <v>13</v>
      </c>
      <c r="B348" s="61"/>
      <c r="C348" s="6" t="s">
        <v>10</v>
      </c>
      <c r="D348" s="6" t="s">
        <v>89</v>
      </c>
      <c r="E348" s="6" t="s">
        <v>14</v>
      </c>
      <c r="F348" s="6"/>
      <c r="G348" s="46">
        <f t="shared" si="16"/>
        <v>16244.8</v>
      </c>
      <c r="H348" s="46">
        <f t="shared" si="16"/>
        <v>17101.400000000001</v>
      </c>
      <c r="I348" s="46">
        <f t="shared" si="14"/>
        <v>18041.976999999999</v>
      </c>
      <c r="J348" s="46">
        <f t="shared" si="15"/>
        <v>18944.075850000001</v>
      </c>
    </row>
    <row r="349" spans="1:10">
      <c r="A349" s="7" t="s">
        <v>15</v>
      </c>
      <c r="B349" s="61"/>
      <c r="C349" s="6" t="s">
        <v>10</v>
      </c>
      <c r="D349" s="6" t="s">
        <v>89</v>
      </c>
      <c r="E349" s="6" t="s">
        <v>16</v>
      </c>
      <c r="F349" s="6"/>
      <c r="G349" s="46">
        <f t="shared" si="16"/>
        <v>16244.8</v>
      </c>
      <c r="H349" s="46">
        <f t="shared" si="16"/>
        <v>17101.400000000001</v>
      </c>
      <c r="I349" s="46">
        <f t="shared" si="14"/>
        <v>18041.976999999999</v>
      </c>
      <c r="J349" s="46">
        <f t="shared" si="15"/>
        <v>18944.075850000001</v>
      </c>
    </row>
    <row r="350" spans="1:10">
      <c r="A350" s="7" t="s">
        <v>15</v>
      </c>
      <c r="B350" s="61"/>
      <c r="C350" s="6" t="s">
        <v>10</v>
      </c>
      <c r="D350" s="6" t="s">
        <v>89</v>
      </c>
      <c r="E350" s="6" t="s">
        <v>17</v>
      </c>
      <c r="F350" s="6"/>
      <c r="G350" s="46">
        <f>SUM(G351:G356)</f>
        <v>16244.8</v>
      </c>
      <c r="H350" s="46">
        <f>SUM(H351:H356)</f>
        <v>17101.400000000001</v>
      </c>
      <c r="I350" s="46">
        <f t="shared" si="14"/>
        <v>18041.976999999999</v>
      </c>
      <c r="J350" s="46">
        <f t="shared" si="15"/>
        <v>18944.075850000001</v>
      </c>
    </row>
    <row r="351" spans="1:10">
      <c r="A351" s="7" t="s">
        <v>209</v>
      </c>
      <c r="B351" s="61"/>
      <c r="C351" s="6" t="s">
        <v>10</v>
      </c>
      <c r="D351" s="6" t="s">
        <v>89</v>
      </c>
      <c r="E351" s="6" t="s">
        <v>17</v>
      </c>
      <c r="F351" s="6" t="s">
        <v>167</v>
      </c>
      <c r="G351" s="46">
        <v>13894.9</v>
      </c>
      <c r="H351" s="46">
        <v>14973</v>
      </c>
      <c r="I351" s="46">
        <f t="shared" si="14"/>
        <v>15796.514999999999</v>
      </c>
      <c r="J351" s="46">
        <f t="shared" si="15"/>
        <v>16586.340749999999</v>
      </c>
    </row>
    <row r="352" spans="1:10" ht="25.5">
      <c r="A352" s="7" t="s">
        <v>221</v>
      </c>
      <c r="B352" s="61"/>
      <c r="C352" s="6" t="s">
        <v>10</v>
      </c>
      <c r="D352" s="6" t="s">
        <v>89</v>
      </c>
      <c r="E352" s="6" t="s">
        <v>17</v>
      </c>
      <c r="F352" s="6" t="s">
        <v>203</v>
      </c>
      <c r="G352" s="46">
        <v>237.1</v>
      </c>
      <c r="H352" s="46">
        <v>188</v>
      </c>
      <c r="I352" s="46">
        <f t="shared" si="14"/>
        <v>198.33999999999997</v>
      </c>
      <c r="J352" s="46">
        <f t="shared" si="15"/>
        <v>208.25699999999998</v>
      </c>
    </row>
    <row r="353" spans="1:11" ht="25.5">
      <c r="A353" s="7" t="s">
        <v>205</v>
      </c>
      <c r="B353" s="61"/>
      <c r="C353" s="6" t="s">
        <v>10</v>
      </c>
      <c r="D353" s="6" t="s">
        <v>89</v>
      </c>
      <c r="E353" s="6" t="s">
        <v>17</v>
      </c>
      <c r="F353" s="6" t="s">
        <v>204</v>
      </c>
      <c r="G353" s="46">
        <v>1295.8</v>
      </c>
      <c r="H353" s="46">
        <v>1147</v>
      </c>
      <c r="I353" s="46">
        <f t="shared" si="14"/>
        <v>1210.085</v>
      </c>
      <c r="J353" s="46">
        <f t="shared" si="15"/>
        <v>1270.58925</v>
      </c>
    </row>
    <row r="354" spans="1:11" ht="25.5">
      <c r="A354" s="7" t="s">
        <v>207</v>
      </c>
      <c r="B354" s="61"/>
      <c r="C354" s="6" t="s">
        <v>10</v>
      </c>
      <c r="D354" s="6" t="s">
        <v>89</v>
      </c>
      <c r="E354" s="6" t="s">
        <v>17</v>
      </c>
      <c r="F354" s="6" t="s">
        <v>168</v>
      </c>
      <c r="G354" s="46">
        <f>791</f>
        <v>791</v>
      </c>
      <c r="H354" s="46">
        <f>780+1.4</f>
        <v>781.4</v>
      </c>
      <c r="I354" s="46">
        <f t="shared" si="14"/>
        <v>824.37699999999995</v>
      </c>
      <c r="J354" s="46">
        <f t="shared" si="15"/>
        <v>865.59585000000004</v>
      </c>
    </row>
    <row r="355" spans="1:11" ht="25.5">
      <c r="A355" s="7" t="s">
        <v>372</v>
      </c>
      <c r="B355" s="61"/>
      <c r="C355" s="6" t="s">
        <v>10</v>
      </c>
      <c r="D355" s="6" t="s">
        <v>89</v>
      </c>
      <c r="E355" s="6" t="s">
        <v>17</v>
      </c>
      <c r="F355" s="6" t="s">
        <v>189</v>
      </c>
      <c r="G355" s="46">
        <v>6</v>
      </c>
      <c r="H355" s="46">
        <v>6</v>
      </c>
      <c r="I355" s="46">
        <f t="shared" si="14"/>
        <v>6.33</v>
      </c>
      <c r="J355" s="46">
        <f t="shared" si="15"/>
        <v>6.6465000000000005</v>
      </c>
    </row>
    <row r="356" spans="1:11">
      <c r="A356" s="7" t="s">
        <v>206</v>
      </c>
      <c r="B356" s="61"/>
      <c r="C356" s="6" t="s">
        <v>10</v>
      </c>
      <c r="D356" s="6" t="s">
        <v>89</v>
      </c>
      <c r="E356" s="6" t="s">
        <v>17</v>
      </c>
      <c r="F356" s="6" t="s">
        <v>192</v>
      </c>
      <c r="G356" s="46">
        <v>20</v>
      </c>
      <c r="H356" s="46">
        <v>6</v>
      </c>
      <c r="I356" s="46">
        <f t="shared" si="14"/>
        <v>6.33</v>
      </c>
      <c r="J356" s="46">
        <f t="shared" si="15"/>
        <v>6.6465000000000005</v>
      </c>
    </row>
    <row r="357" spans="1:11" ht="17.25" customHeight="1">
      <c r="A357" s="7" t="s">
        <v>23</v>
      </c>
      <c r="B357" s="61"/>
      <c r="C357" s="6" t="s">
        <v>10</v>
      </c>
      <c r="D357" s="6" t="s">
        <v>22</v>
      </c>
      <c r="E357" s="6"/>
      <c r="F357" s="6"/>
      <c r="G357" s="46">
        <f>G358</f>
        <v>3062.8</v>
      </c>
      <c r="H357" s="46">
        <f>H359</f>
        <v>6500</v>
      </c>
      <c r="I357" s="46">
        <v>6500</v>
      </c>
      <c r="J357" s="46">
        <v>6500</v>
      </c>
    </row>
    <row r="358" spans="1:11" ht="16.5" customHeight="1">
      <c r="A358" s="7" t="s">
        <v>23</v>
      </c>
      <c r="B358" s="61"/>
      <c r="C358" s="6" t="s">
        <v>10</v>
      </c>
      <c r="D358" s="6" t="s">
        <v>22</v>
      </c>
      <c r="E358" s="6" t="s">
        <v>25</v>
      </c>
      <c r="F358" s="6"/>
      <c r="G358" s="46">
        <f>G359</f>
        <v>3062.8</v>
      </c>
      <c r="H358" s="46">
        <f>H359</f>
        <v>6500</v>
      </c>
      <c r="I358" s="46">
        <v>6500</v>
      </c>
      <c r="J358" s="46">
        <v>6500</v>
      </c>
    </row>
    <row r="359" spans="1:11">
      <c r="A359" s="7" t="s">
        <v>122</v>
      </c>
      <c r="B359" s="61"/>
      <c r="C359" s="6" t="s">
        <v>10</v>
      </c>
      <c r="D359" s="6" t="s">
        <v>22</v>
      </c>
      <c r="E359" s="6" t="s">
        <v>27</v>
      </c>
      <c r="F359" s="6"/>
      <c r="G359" s="46">
        <f>G360</f>
        <v>3062.8</v>
      </c>
      <c r="H359" s="46">
        <f>H360</f>
        <v>6500</v>
      </c>
      <c r="I359" s="46">
        <v>6500</v>
      </c>
      <c r="J359" s="46">
        <v>6500</v>
      </c>
    </row>
    <row r="360" spans="1:11" ht="25.5">
      <c r="A360" s="7" t="s">
        <v>178</v>
      </c>
      <c r="B360" s="61"/>
      <c r="C360" s="6" t="s">
        <v>10</v>
      </c>
      <c r="D360" s="6" t="s">
        <v>22</v>
      </c>
      <c r="E360" s="6" t="s">
        <v>27</v>
      </c>
      <c r="F360" s="6" t="s">
        <v>179</v>
      </c>
      <c r="G360" s="46">
        <v>3062.8</v>
      </c>
      <c r="H360" s="46">
        <v>6500</v>
      </c>
      <c r="I360" s="46">
        <v>6500</v>
      </c>
      <c r="J360" s="46">
        <v>6500</v>
      </c>
    </row>
    <row r="361" spans="1:11" ht="25.5">
      <c r="A361" s="7" t="s">
        <v>162</v>
      </c>
      <c r="B361" s="67"/>
      <c r="C361" s="6" t="s">
        <v>154</v>
      </c>
      <c r="D361" s="6"/>
      <c r="E361" s="6"/>
      <c r="F361" s="6"/>
      <c r="G361" s="46">
        <f t="shared" ref="G361:H363" si="17">G362</f>
        <v>4899.8999999999996</v>
      </c>
      <c r="H361" s="46">
        <f t="shared" si="17"/>
        <v>4899.8999999999996</v>
      </c>
      <c r="I361" s="46">
        <f t="shared" ref="I361:J363" si="18">I362</f>
        <v>4318.6000000000004</v>
      </c>
      <c r="J361" s="46">
        <f t="shared" si="18"/>
        <v>4266.5999999999985</v>
      </c>
    </row>
    <row r="362" spans="1:11" ht="25.5">
      <c r="A362" s="7" t="s">
        <v>166</v>
      </c>
      <c r="B362" s="67"/>
      <c r="C362" s="6" t="s">
        <v>154</v>
      </c>
      <c r="D362" s="6" t="s">
        <v>10</v>
      </c>
      <c r="E362" s="6"/>
      <c r="F362" s="6"/>
      <c r="G362" s="46">
        <f t="shared" si="17"/>
        <v>4899.8999999999996</v>
      </c>
      <c r="H362" s="46">
        <f t="shared" si="17"/>
        <v>4899.8999999999996</v>
      </c>
      <c r="I362" s="46">
        <f t="shared" si="18"/>
        <v>4318.6000000000004</v>
      </c>
      <c r="J362" s="46">
        <f t="shared" si="18"/>
        <v>4266.5999999999985</v>
      </c>
    </row>
    <row r="363" spans="1:11" ht="25.5">
      <c r="A363" s="7" t="s">
        <v>161</v>
      </c>
      <c r="B363" s="67"/>
      <c r="C363" s="6" t="s">
        <v>154</v>
      </c>
      <c r="D363" s="6" t="s">
        <v>10</v>
      </c>
      <c r="E363" s="6" t="s">
        <v>158</v>
      </c>
      <c r="F363" s="6"/>
      <c r="G363" s="46">
        <f t="shared" si="17"/>
        <v>4899.8999999999996</v>
      </c>
      <c r="H363" s="46">
        <f t="shared" si="17"/>
        <v>4899.8999999999996</v>
      </c>
      <c r="I363" s="46">
        <f t="shared" si="18"/>
        <v>4318.6000000000004</v>
      </c>
      <c r="J363" s="46">
        <f t="shared" si="18"/>
        <v>4266.5999999999985</v>
      </c>
    </row>
    <row r="364" spans="1:11" ht="25.5">
      <c r="A364" s="7" t="s">
        <v>188</v>
      </c>
      <c r="B364" s="67"/>
      <c r="C364" s="6" t="s">
        <v>154</v>
      </c>
      <c r="D364" s="6" t="s">
        <v>10</v>
      </c>
      <c r="E364" s="6" t="s">
        <v>159</v>
      </c>
      <c r="F364" s="6" t="s">
        <v>187</v>
      </c>
      <c r="G364" s="46">
        <v>4899.8999999999996</v>
      </c>
      <c r="H364" s="46">
        <v>4899.8999999999996</v>
      </c>
      <c r="I364" s="46">
        <v>4318.6000000000004</v>
      </c>
      <c r="J364" s="46">
        <f>67082.7-62816.1</f>
        <v>4266.5999999999985</v>
      </c>
    </row>
    <row r="365" spans="1:11">
      <c r="A365" s="1" t="s">
        <v>104</v>
      </c>
      <c r="B365" s="62"/>
      <c r="C365" s="62"/>
      <c r="D365" s="62"/>
      <c r="E365" s="62"/>
      <c r="F365" s="62"/>
      <c r="G365" s="45">
        <f>SUM(G345+G323+G263+G247+G188+G172+G156+G148+G135+G13)</f>
        <v>1570664.0999999999</v>
      </c>
      <c r="H365" s="45">
        <f>SUM(H345+H323+H263+H247+H188+H172+H156+H148+H135+H13)</f>
        <v>1392098.7999999998</v>
      </c>
      <c r="I365" s="45">
        <v>1461481.5</v>
      </c>
      <c r="J365" s="45">
        <f>J345+J323+J263+J247+J188+J172+J156+J135+J13</f>
        <v>1523051.2246250003</v>
      </c>
      <c r="K365" s="60"/>
    </row>
    <row r="366" spans="1:11">
      <c r="A366" s="13"/>
      <c r="B366" s="13"/>
      <c r="C366" s="13"/>
      <c r="D366" s="13"/>
      <c r="E366" s="13"/>
      <c r="F366" s="13"/>
      <c r="G366" s="68"/>
      <c r="H366" s="71"/>
      <c r="I366" s="72"/>
      <c r="J366" s="71"/>
    </row>
    <row r="367" spans="1:11">
      <c r="A367" s="13"/>
      <c r="B367" s="13"/>
      <c r="C367" s="13"/>
      <c r="D367" s="13"/>
      <c r="E367" s="13"/>
      <c r="F367" s="13"/>
      <c r="G367" s="68"/>
      <c r="H367" s="71"/>
      <c r="I367" s="71"/>
      <c r="J367" s="71"/>
    </row>
    <row r="368" spans="1:11" ht="15.75">
      <c r="A368" s="327" t="s">
        <v>371</v>
      </c>
      <c r="B368" s="327"/>
      <c r="C368" s="327"/>
      <c r="D368" s="63"/>
      <c r="E368" s="63"/>
      <c r="F368" s="63"/>
      <c r="G368" s="398" t="s">
        <v>371</v>
      </c>
      <c r="H368" s="398"/>
      <c r="I368" s="398"/>
      <c r="J368" s="398"/>
    </row>
    <row r="369" spans="1:10">
      <c r="A369" s="71"/>
      <c r="B369" s="71"/>
      <c r="C369" s="71"/>
      <c r="D369" s="71"/>
      <c r="E369" s="71"/>
      <c r="F369" s="71"/>
      <c r="G369" s="72"/>
      <c r="H369" s="71"/>
      <c r="I369" s="71"/>
      <c r="J369" s="71"/>
    </row>
    <row r="370" spans="1:10">
      <c r="A370" s="91"/>
      <c r="B370" s="91"/>
      <c r="C370" s="91"/>
      <c r="D370" s="91"/>
      <c r="E370" s="91"/>
      <c r="F370" s="91"/>
      <c r="G370" s="91"/>
      <c r="H370" s="91"/>
      <c r="I370" s="91"/>
      <c r="J370" s="91"/>
    </row>
    <row r="371" spans="1:10">
      <c r="A371" s="397" t="s">
        <v>382</v>
      </c>
      <c r="B371" s="397"/>
      <c r="C371" s="10"/>
      <c r="D371" s="10"/>
      <c r="E371" s="10"/>
      <c r="F371" s="10"/>
      <c r="G371" s="10"/>
      <c r="H371" s="10"/>
      <c r="I371" s="10"/>
      <c r="J371" s="10"/>
    </row>
    <row r="372" spans="1:10">
      <c r="A372" s="397" t="s">
        <v>388</v>
      </c>
      <c r="B372" s="397"/>
      <c r="C372" s="397"/>
      <c r="D372" s="397"/>
      <c r="E372" s="10"/>
      <c r="F372" s="10"/>
      <c r="G372" s="10"/>
      <c r="H372" s="10"/>
      <c r="I372" s="10"/>
      <c r="J372" s="10"/>
    </row>
    <row r="373" spans="1:10">
      <c r="A373" s="397" t="s">
        <v>387</v>
      </c>
      <c r="B373" s="397"/>
      <c r="C373" s="397"/>
      <c r="D373" s="397"/>
      <c r="E373" s="397"/>
      <c r="F373" s="397"/>
      <c r="G373" s="397"/>
      <c r="H373" s="397"/>
      <c r="I373" s="397"/>
      <c r="J373" s="397"/>
    </row>
    <row r="374" spans="1:10">
      <c r="A374" s="90"/>
      <c r="B374" s="90"/>
      <c r="C374" s="90"/>
      <c r="D374" s="90"/>
      <c r="E374" s="90"/>
      <c r="F374" s="90"/>
      <c r="G374" s="90"/>
      <c r="H374" s="90"/>
      <c r="I374" s="90"/>
      <c r="J374" s="90"/>
    </row>
  </sheetData>
  <mergeCells count="22">
    <mergeCell ref="D10:D11"/>
    <mergeCell ref="J10:J11"/>
    <mergeCell ref="F1:J1"/>
    <mergeCell ref="E2:J2"/>
    <mergeCell ref="F3:J3"/>
    <mergeCell ref="A5:J5"/>
    <mergeCell ref="H9:J9"/>
    <mergeCell ref="E10:E11"/>
    <mergeCell ref="C10:C11"/>
    <mergeCell ref="B10:B11"/>
    <mergeCell ref="G7:J7"/>
    <mergeCell ref="G9:G11"/>
    <mergeCell ref="F10:F11"/>
    <mergeCell ref="A9:A11"/>
    <mergeCell ref="C9:F9"/>
    <mergeCell ref="H10:H11"/>
    <mergeCell ref="I10:I11"/>
    <mergeCell ref="A373:J373"/>
    <mergeCell ref="A372:D372"/>
    <mergeCell ref="G368:J368"/>
    <mergeCell ref="A368:C368"/>
    <mergeCell ref="A371:B371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I19" sqref="I19"/>
    </sheetView>
  </sheetViews>
  <sheetFormatPr defaultRowHeight="12.75"/>
  <cols>
    <col min="1" max="1" width="24.140625" customWidth="1"/>
    <col min="2" max="2" width="34.85546875" customWidth="1"/>
    <col min="3" max="3" width="15.28515625" customWidth="1"/>
    <col min="4" max="4" width="15.85546875" customWidth="1"/>
    <col min="5" max="5" width="11.140625" customWidth="1"/>
    <col min="6" max="6" width="13" customWidth="1"/>
    <col min="7" max="7" width="10.140625" customWidth="1"/>
    <col min="8" max="8" width="10.85546875" customWidth="1"/>
    <col min="9" max="9" width="10.5703125" customWidth="1"/>
    <col min="10" max="10" width="11" customWidth="1"/>
  </cols>
  <sheetData>
    <row r="1" spans="1:10" ht="15.75">
      <c r="A1" s="340" t="s">
        <v>412</v>
      </c>
      <c r="B1" s="391"/>
      <c r="C1" s="391"/>
      <c r="D1" s="391"/>
    </row>
    <row r="2" spans="1:10" ht="15.75">
      <c r="A2" s="340" t="s">
        <v>433</v>
      </c>
      <c r="B2" s="391"/>
      <c r="C2" s="391"/>
      <c r="D2" s="391"/>
    </row>
    <row r="3" spans="1:10" ht="15.75">
      <c r="A3" s="340" t="s">
        <v>434</v>
      </c>
      <c r="B3" s="391"/>
      <c r="C3" s="391"/>
      <c r="D3" s="391"/>
    </row>
    <row r="4" spans="1:10" ht="15.75">
      <c r="A4" s="340" t="s">
        <v>435</v>
      </c>
      <c r="B4" s="391"/>
      <c r="C4" s="391"/>
      <c r="D4" s="391"/>
    </row>
    <row r="5" spans="1:10" ht="15.75">
      <c r="A5" s="340" t="s">
        <v>450</v>
      </c>
      <c r="B5" s="391"/>
      <c r="C5" s="391"/>
      <c r="D5" s="391"/>
    </row>
    <row r="6" spans="1:10" ht="15.75">
      <c r="A6" s="31"/>
      <c r="B6" s="408" t="s">
        <v>446</v>
      </c>
      <c r="C6" s="408"/>
      <c r="D6" s="408"/>
    </row>
    <row r="7" spans="1:10" ht="39.75" customHeight="1">
      <c r="A7" s="389" t="s">
        <v>403</v>
      </c>
      <c r="B7" s="389"/>
      <c r="C7" s="389"/>
      <c r="D7" s="389"/>
    </row>
    <row r="8" spans="1:10">
      <c r="A8" s="33"/>
    </row>
    <row r="9" spans="1:10">
      <c r="C9" s="31"/>
      <c r="D9" s="31" t="s">
        <v>305</v>
      </c>
    </row>
    <row r="10" spans="1:10" ht="38.25">
      <c r="A10" s="34" t="s">
        <v>306</v>
      </c>
      <c r="B10" s="34" t="s">
        <v>307</v>
      </c>
      <c r="C10" s="41" t="s">
        <v>333</v>
      </c>
      <c r="D10" s="41" t="s">
        <v>406</v>
      </c>
    </row>
    <row r="11" spans="1:10">
      <c r="A11" s="34">
        <v>1</v>
      </c>
      <c r="B11" s="34">
        <v>2</v>
      </c>
      <c r="C11" s="34">
        <v>3</v>
      </c>
      <c r="D11" s="34">
        <v>3</v>
      </c>
      <c r="J11" t="s">
        <v>371</v>
      </c>
    </row>
    <row r="12" spans="1:10" ht="38.25">
      <c r="A12" s="35" t="s">
        <v>308</v>
      </c>
      <c r="B12" s="35" t="s">
        <v>309</v>
      </c>
      <c r="C12" s="36">
        <v>0</v>
      </c>
      <c r="D12" s="36">
        <v>0</v>
      </c>
    </row>
    <row r="13" spans="1:10" ht="51">
      <c r="A13" s="35" t="s">
        <v>310</v>
      </c>
      <c r="B13" s="35" t="s">
        <v>311</v>
      </c>
      <c r="C13" s="36">
        <v>0</v>
      </c>
      <c r="D13" s="36">
        <v>0</v>
      </c>
    </row>
    <row r="14" spans="1:10" ht="63.75">
      <c r="A14" s="35" t="s">
        <v>312</v>
      </c>
      <c r="B14" s="35" t="s">
        <v>313</v>
      </c>
      <c r="C14" s="36">
        <v>0</v>
      </c>
      <c r="D14" s="36">
        <v>0</v>
      </c>
    </row>
    <row r="15" spans="1:10" ht="63.75">
      <c r="A15" s="35" t="s">
        <v>314</v>
      </c>
      <c r="B15" s="35" t="s">
        <v>315</v>
      </c>
      <c r="C15" s="36">
        <v>62816.3</v>
      </c>
      <c r="D15" s="36"/>
    </row>
    <row r="16" spans="1:10" ht="29.25" customHeight="1">
      <c r="A16" s="35" t="s">
        <v>316</v>
      </c>
      <c r="B16" s="35" t="s">
        <v>317</v>
      </c>
      <c r="C16" s="36">
        <v>0</v>
      </c>
      <c r="D16" s="36">
        <v>0</v>
      </c>
      <c r="F16" s="92"/>
    </row>
    <row r="17" spans="1:6" ht="25.5">
      <c r="A17" s="35" t="s">
        <v>318</v>
      </c>
      <c r="B17" s="35" t="s">
        <v>319</v>
      </c>
      <c r="C17" s="36">
        <v>0</v>
      </c>
      <c r="D17" s="36">
        <v>0</v>
      </c>
      <c r="F17" s="92"/>
    </row>
    <row r="18" spans="1:6" ht="51">
      <c r="A18" s="35" t="s">
        <v>320</v>
      </c>
      <c r="B18" s="35" t="s">
        <v>321</v>
      </c>
      <c r="C18" s="36">
        <v>62816.3</v>
      </c>
      <c r="D18" s="36"/>
    </row>
    <row r="19" spans="1:6">
      <c r="A19" s="37"/>
      <c r="B19" s="37" t="s">
        <v>322</v>
      </c>
      <c r="C19" s="38">
        <f>C18+C17+C16-C15</f>
        <v>0</v>
      </c>
      <c r="D19" s="38">
        <f>D12-D13+D14-D15+D16+D17+D18</f>
        <v>0</v>
      </c>
    </row>
    <row r="20" spans="1:6">
      <c r="A20" s="39"/>
    </row>
    <row r="21" spans="1:6">
      <c r="A21" s="39"/>
    </row>
    <row r="22" spans="1:6" ht="15.75">
      <c r="A22" s="392" t="s">
        <v>437</v>
      </c>
      <c r="B22" s="392"/>
      <c r="C22" s="396" t="s">
        <v>427</v>
      </c>
      <c r="D22" s="396"/>
    </row>
    <row r="23" spans="1:6" ht="15.75">
      <c r="A23" s="390"/>
      <c r="B23" s="390"/>
      <c r="C23" s="390"/>
    </row>
    <row r="24" spans="1:6" ht="15.75">
      <c r="A24" s="94"/>
      <c r="B24" s="93"/>
      <c r="C24" s="93"/>
      <c r="D24" s="93"/>
    </row>
    <row r="28" spans="1:6" ht="15" customHeight="1"/>
    <row r="30" spans="1:6" ht="15" customHeight="1"/>
  </sheetData>
  <mergeCells count="10">
    <mergeCell ref="A1:D1"/>
    <mergeCell ref="C22:D22"/>
    <mergeCell ref="A7:D7"/>
    <mergeCell ref="A22:B22"/>
    <mergeCell ref="A23:C23"/>
    <mergeCell ref="A2:D2"/>
    <mergeCell ref="A3:D3"/>
    <mergeCell ref="A4:D4"/>
    <mergeCell ref="A5:D5"/>
    <mergeCell ref="B6:D6"/>
  </mergeCells>
  <pageMargins left="0.61" right="0.6" top="0.52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146"/>
  <sheetViews>
    <sheetView zoomScaleNormal="100" workbookViewId="0">
      <selection activeCell="F7" sqref="F7"/>
    </sheetView>
  </sheetViews>
  <sheetFormatPr defaultRowHeight="12.75"/>
  <cols>
    <col min="1" max="1" width="65.85546875" style="167" customWidth="1"/>
    <col min="2" max="3" width="13" style="166" customWidth="1"/>
    <col min="4" max="4" width="15" style="166" customWidth="1"/>
    <col min="5" max="6" width="14.85546875" style="165" customWidth="1"/>
    <col min="7" max="16384" width="9.140625" style="166"/>
  </cols>
  <sheetData>
    <row r="1" spans="1:7">
      <c r="A1" s="175"/>
      <c r="B1" s="175"/>
      <c r="C1" s="175"/>
      <c r="D1" s="175"/>
      <c r="F1" s="171" t="s">
        <v>1034</v>
      </c>
      <c r="G1" s="171"/>
    </row>
    <row r="2" spans="1:7">
      <c r="A2" s="166"/>
      <c r="F2" s="168" t="s">
        <v>433</v>
      </c>
      <c r="G2" s="168"/>
    </row>
    <row r="3" spans="1:7">
      <c r="A3" s="166"/>
      <c r="F3" s="15" t="s">
        <v>1119</v>
      </c>
      <c r="G3" s="15"/>
    </row>
    <row r="4" spans="1:7">
      <c r="A4" s="165"/>
      <c r="B4" s="165"/>
      <c r="C4" s="165"/>
      <c r="D4" s="165"/>
      <c r="F4" s="15" t="s">
        <v>1120</v>
      </c>
      <c r="G4" s="169"/>
    </row>
    <row r="5" spans="1:7">
      <c r="A5" s="165"/>
      <c r="B5" s="165"/>
      <c r="C5" s="165"/>
      <c r="D5" s="165"/>
      <c r="F5" s="15" t="s">
        <v>1121</v>
      </c>
      <c r="G5" s="169"/>
    </row>
    <row r="6" spans="1:7">
      <c r="A6" s="165"/>
      <c r="B6" s="165"/>
      <c r="C6" s="165"/>
      <c r="D6" s="165"/>
      <c r="F6" s="169" t="s">
        <v>1122</v>
      </c>
      <c r="G6" s="169"/>
    </row>
    <row r="7" spans="1:7">
      <c r="A7" s="165"/>
      <c r="B7" s="165"/>
      <c r="C7" s="165"/>
      <c r="D7" s="165"/>
      <c r="F7" s="321" t="s">
        <v>1158</v>
      </c>
      <c r="G7" s="169"/>
    </row>
    <row r="8" spans="1:7">
      <c r="A8" s="165"/>
      <c r="B8" s="165"/>
      <c r="C8" s="165"/>
      <c r="D8" s="165"/>
      <c r="F8" s="169"/>
      <c r="G8" s="169"/>
    </row>
    <row r="9" spans="1:7">
      <c r="A9" s="165"/>
      <c r="B9" s="165"/>
      <c r="C9" s="165"/>
      <c r="D9" s="165"/>
      <c r="E9" s="173"/>
      <c r="F9" s="173"/>
    </row>
    <row r="10" spans="1:7" s="184" customFormat="1" ht="15.75">
      <c r="A10" s="337" t="s">
        <v>498</v>
      </c>
      <c r="B10" s="337"/>
      <c r="C10" s="337"/>
      <c r="D10" s="337"/>
      <c r="E10" s="337"/>
      <c r="F10" s="337"/>
    </row>
    <row r="11" spans="1:7" s="184" customFormat="1" ht="15.75">
      <c r="A11" s="338" t="s">
        <v>618</v>
      </c>
      <c r="B11" s="338"/>
      <c r="C11" s="338"/>
      <c r="D11" s="338"/>
      <c r="E11" s="338"/>
      <c r="F11" s="338"/>
    </row>
    <row r="12" spans="1:7" s="184" customFormat="1" ht="15.75">
      <c r="A12" s="338" t="s">
        <v>1118</v>
      </c>
      <c r="B12" s="338"/>
      <c r="C12" s="338"/>
      <c r="D12" s="338"/>
      <c r="E12" s="338"/>
      <c r="F12" s="338"/>
    </row>
    <row r="13" spans="1:7" s="184" customFormat="1" ht="15.75">
      <c r="A13" s="206"/>
      <c r="B13" s="206"/>
      <c r="C13" s="206"/>
      <c r="D13" s="288"/>
      <c r="E13" s="206"/>
      <c r="F13" s="206"/>
    </row>
    <row r="14" spans="1:7" s="184" customFormat="1" ht="15.75">
      <c r="A14" s="187"/>
      <c r="B14" s="187"/>
      <c r="C14" s="187"/>
      <c r="D14" s="187"/>
      <c r="E14" s="188"/>
      <c r="F14" s="188" t="s">
        <v>0</v>
      </c>
    </row>
    <row r="15" spans="1:7" s="184" customFormat="1" ht="51" customHeight="1">
      <c r="A15" s="410" t="s">
        <v>2</v>
      </c>
      <c r="B15" s="411" t="s">
        <v>666</v>
      </c>
      <c r="C15" s="411"/>
      <c r="D15" s="411" t="s">
        <v>1040</v>
      </c>
      <c r="E15" s="409" t="s">
        <v>622</v>
      </c>
      <c r="F15" s="409" t="s">
        <v>665</v>
      </c>
    </row>
    <row r="16" spans="1:7" s="184" customFormat="1" ht="15.75">
      <c r="A16" s="410"/>
      <c r="B16" s="183" t="s">
        <v>5</v>
      </c>
      <c r="C16" s="319" t="s">
        <v>201</v>
      </c>
      <c r="D16" s="411"/>
      <c r="E16" s="409"/>
      <c r="F16" s="409"/>
    </row>
    <row r="17" spans="1:6" s="184" customFormat="1" ht="15.75">
      <c r="A17" s="319">
        <v>1</v>
      </c>
      <c r="B17" s="183">
        <v>2</v>
      </c>
      <c r="C17" s="183">
        <v>3</v>
      </c>
      <c r="D17" s="319">
        <v>4</v>
      </c>
      <c r="E17" s="183">
        <v>5</v>
      </c>
      <c r="F17" s="183">
        <v>6</v>
      </c>
    </row>
    <row r="18" spans="1:6" s="184" customFormat="1" ht="15.75">
      <c r="A18" s="196" t="s">
        <v>609</v>
      </c>
      <c r="B18" s="183"/>
      <c r="C18" s="183"/>
      <c r="D18" s="203">
        <f>'прил.6 '!D20</f>
        <v>0</v>
      </c>
      <c r="E18" s="203">
        <f>'прил.6 '!E20</f>
        <v>42750</v>
      </c>
      <c r="F18" s="203">
        <f>'прил.6 '!F20</f>
        <v>78720</v>
      </c>
    </row>
    <row r="19" spans="1:6" s="184" customFormat="1" ht="15.75">
      <c r="A19" s="196" t="s">
        <v>9</v>
      </c>
      <c r="B19" s="197" t="s">
        <v>10</v>
      </c>
      <c r="C19" s="197" t="s">
        <v>469</v>
      </c>
      <c r="D19" s="203">
        <f>D20+D21+D22+D23+D24</f>
        <v>224503.59999999998</v>
      </c>
      <c r="E19" s="203">
        <f>E20+E21+E22+E23+E24</f>
        <v>252319.90000000002</v>
      </c>
      <c r="F19" s="203">
        <f>F20+F21+F22+F23+F24</f>
        <v>241026.7</v>
      </c>
    </row>
    <row r="20" spans="1:6" s="184" customFormat="1" ht="47.25">
      <c r="A20" s="164" t="s">
        <v>11</v>
      </c>
      <c r="B20" s="197" t="s">
        <v>10</v>
      </c>
      <c r="C20" s="197" t="s">
        <v>12</v>
      </c>
      <c r="D20" s="203">
        <f>прил.5!F25</f>
        <v>6675.7</v>
      </c>
      <c r="E20" s="203">
        <f>прил.5!G25</f>
        <v>6967.1</v>
      </c>
      <c r="F20" s="203">
        <f>прил.5!H25</f>
        <v>6967.1</v>
      </c>
    </row>
    <row r="21" spans="1:6" s="184" customFormat="1" ht="47.25">
      <c r="A21" s="164" t="s">
        <v>18</v>
      </c>
      <c r="B21" s="197" t="s">
        <v>10</v>
      </c>
      <c r="C21" s="197" t="s">
        <v>19</v>
      </c>
      <c r="D21" s="203">
        <f>прил.5!F30</f>
        <v>137384.9</v>
      </c>
      <c r="E21" s="203">
        <f>прил.5!G30</f>
        <v>145171.4</v>
      </c>
      <c r="F21" s="203">
        <f>прил.5!H30</f>
        <v>145171.4</v>
      </c>
    </row>
    <row r="22" spans="1:6" s="184" customFormat="1" ht="36" customHeight="1">
      <c r="A22" s="196" t="s">
        <v>133</v>
      </c>
      <c r="B22" s="197" t="s">
        <v>10</v>
      </c>
      <c r="C22" s="197" t="s">
        <v>89</v>
      </c>
      <c r="D22" s="203">
        <f>прил.5!F39</f>
        <v>19599.8</v>
      </c>
      <c r="E22" s="203">
        <f>прил.5!G39</f>
        <v>20685.400000000001</v>
      </c>
      <c r="F22" s="203">
        <f>прил.5!H39</f>
        <v>20685.400000000001</v>
      </c>
    </row>
    <row r="23" spans="1:6" s="184" customFormat="1" ht="15.75">
      <c r="A23" s="164" t="s">
        <v>23</v>
      </c>
      <c r="B23" s="197" t="s">
        <v>10</v>
      </c>
      <c r="C23" s="197" t="s">
        <v>22</v>
      </c>
      <c r="D23" s="203">
        <f>прил.5!F48</f>
        <v>2277.9</v>
      </c>
      <c r="E23" s="203">
        <f>прил.5!G48</f>
        <v>5000</v>
      </c>
      <c r="F23" s="203">
        <f>прил.5!H48</f>
        <v>5000</v>
      </c>
    </row>
    <row r="24" spans="1:6" s="184" customFormat="1" ht="15.75">
      <c r="A24" s="196" t="s">
        <v>28</v>
      </c>
      <c r="B24" s="197" t="s">
        <v>10</v>
      </c>
      <c r="C24" s="197" t="s">
        <v>154</v>
      </c>
      <c r="D24" s="203">
        <f>прил.5!F51</f>
        <v>58565.3</v>
      </c>
      <c r="E24" s="203">
        <f>прил.5!G51</f>
        <v>74496.000000000015</v>
      </c>
      <c r="F24" s="203">
        <f>прил.5!H51</f>
        <v>63202.8</v>
      </c>
    </row>
    <row r="25" spans="1:6" s="184" customFormat="1" ht="31.5">
      <c r="A25" s="164" t="s">
        <v>32</v>
      </c>
      <c r="B25" s="197" t="s">
        <v>12</v>
      </c>
      <c r="C25" s="197" t="s">
        <v>469</v>
      </c>
      <c r="D25" s="203">
        <f>D26+D27</f>
        <v>19792.900000000001</v>
      </c>
      <c r="E25" s="203">
        <f>E26+E27</f>
        <v>21494.9</v>
      </c>
      <c r="F25" s="203">
        <f>F26+F27</f>
        <v>21494.9</v>
      </c>
    </row>
    <row r="26" spans="1:6" s="184" customFormat="1" ht="31.5">
      <c r="A26" s="164" t="s">
        <v>472</v>
      </c>
      <c r="B26" s="197" t="s">
        <v>12</v>
      </c>
      <c r="C26" s="197" t="s">
        <v>33</v>
      </c>
      <c r="D26" s="203">
        <f>прил.5!F93</f>
        <v>19692.900000000001</v>
      </c>
      <c r="E26" s="203">
        <f>прил.5!G93</f>
        <v>21394.9</v>
      </c>
      <c r="F26" s="203">
        <f>прил.5!H93</f>
        <v>21394.9</v>
      </c>
    </row>
    <row r="27" spans="1:6" s="184" customFormat="1" ht="15.75">
      <c r="A27" s="164" t="s">
        <v>489</v>
      </c>
      <c r="B27" s="197" t="s">
        <v>12</v>
      </c>
      <c r="C27" s="197" t="s">
        <v>94</v>
      </c>
      <c r="D27" s="203">
        <f>прил.5!F100</f>
        <v>100</v>
      </c>
      <c r="E27" s="203">
        <f>прил.5!G100</f>
        <v>100</v>
      </c>
      <c r="F27" s="203">
        <f>прил.5!H100</f>
        <v>100</v>
      </c>
    </row>
    <row r="28" spans="1:6" s="184" customFormat="1" ht="15.75">
      <c r="A28" s="196" t="s">
        <v>39</v>
      </c>
      <c r="B28" s="197" t="s">
        <v>19</v>
      </c>
      <c r="C28" s="197" t="s">
        <v>469</v>
      </c>
      <c r="D28" s="203">
        <f>D29+D30+D31</f>
        <v>1086191</v>
      </c>
      <c r="E28" s="203">
        <f>E29+E30+E31</f>
        <v>918484.2</v>
      </c>
      <c r="F28" s="203">
        <f>F29+F30+F31</f>
        <v>881159.8</v>
      </c>
    </row>
    <row r="29" spans="1:6" s="184" customFormat="1" ht="15.75">
      <c r="A29" s="196" t="s">
        <v>141</v>
      </c>
      <c r="B29" s="197" t="s">
        <v>19</v>
      </c>
      <c r="C29" s="197" t="s">
        <v>81</v>
      </c>
      <c r="D29" s="203">
        <f>прил.5!F104</f>
        <v>28000</v>
      </c>
      <c r="E29" s="203">
        <f>прил.5!G104</f>
        <v>20000</v>
      </c>
      <c r="F29" s="203">
        <f>прил.5!H104</f>
        <v>20000</v>
      </c>
    </row>
    <row r="30" spans="1:6" s="184" customFormat="1" ht="15.75">
      <c r="A30" s="164" t="s">
        <v>149</v>
      </c>
      <c r="B30" s="197" t="s">
        <v>19</v>
      </c>
      <c r="C30" s="197" t="s">
        <v>33</v>
      </c>
      <c r="D30" s="203">
        <f>прил.5!F107</f>
        <v>963994</v>
      </c>
      <c r="E30" s="203">
        <f>прил.5!G107</f>
        <v>847401.1</v>
      </c>
      <c r="F30" s="203">
        <f>прил.5!H107</f>
        <v>861159.8</v>
      </c>
    </row>
    <row r="31" spans="1:6" s="184" customFormat="1" ht="15.75">
      <c r="A31" s="196" t="s">
        <v>40</v>
      </c>
      <c r="B31" s="197" t="s">
        <v>19</v>
      </c>
      <c r="C31" s="197" t="s">
        <v>24</v>
      </c>
      <c r="D31" s="203">
        <f>прил.5!F125</f>
        <v>94197.000000000015</v>
      </c>
      <c r="E31" s="203">
        <f>прил.5!G125</f>
        <v>51083.1</v>
      </c>
      <c r="F31" s="203">
        <f>прил.5!H125</f>
        <v>0</v>
      </c>
    </row>
    <row r="32" spans="1:6" s="184" customFormat="1" ht="15.75">
      <c r="A32" s="196" t="s">
        <v>43</v>
      </c>
      <c r="B32" s="197" t="s">
        <v>44</v>
      </c>
      <c r="C32" s="197" t="s">
        <v>469</v>
      </c>
      <c r="D32" s="203">
        <f>D33+D34+D35+D36</f>
        <v>368143.9</v>
      </c>
      <c r="E32" s="203">
        <f>E33+E34+E35+E36</f>
        <v>217628.1</v>
      </c>
      <c r="F32" s="203">
        <f>F33+F34+F35+F36</f>
        <v>149555.29999999999</v>
      </c>
    </row>
    <row r="33" spans="1:6" s="184" customFormat="1" ht="15.75">
      <c r="A33" s="164" t="s">
        <v>45</v>
      </c>
      <c r="B33" s="197" t="s">
        <v>44</v>
      </c>
      <c r="C33" s="197" t="s">
        <v>10</v>
      </c>
      <c r="D33" s="203">
        <f>прил.5!F131</f>
        <v>155737.70000000001</v>
      </c>
      <c r="E33" s="203">
        <f>прил.5!G131</f>
        <v>82548</v>
      </c>
      <c r="F33" s="203">
        <f>прил.5!H131</f>
        <v>61139.199999999997</v>
      </c>
    </row>
    <row r="34" spans="1:6" s="184" customFormat="1" ht="15.75">
      <c r="A34" s="164" t="s">
        <v>293</v>
      </c>
      <c r="B34" s="197" t="s">
        <v>44</v>
      </c>
      <c r="C34" s="197" t="s">
        <v>50</v>
      </c>
      <c r="D34" s="203">
        <f>прил.5!F144</f>
        <v>93596.200000000012</v>
      </c>
      <c r="E34" s="203">
        <f>прил.5!G144</f>
        <v>26664</v>
      </c>
      <c r="F34" s="203">
        <f>прил.5!H144</f>
        <v>0</v>
      </c>
    </row>
    <row r="35" spans="1:6" s="184" customFormat="1" ht="15.75">
      <c r="A35" s="164" t="s">
        <v>51</v>
      </c>
      <c r="B35" s="197" t="s">
        <v>44</v>
      </c>
      <c r="C35" s="197" t="s">
        <v>12</v>
      </c>
      <c r="D35" s="203">
        <f>прил.5!F151</f>
        <v>81287.199999999997</v>
      </c>
      <c r="E35" s="203">
        <f>прил.5!G151</f>
        <v>76271.100000000006</v>
      </c>
      <c r="F35" s="203">
        <f>прил.5!H151</f>
        <v>56271.1</v>
      </c>
    </row>
    <row r="36" spans="1:6" s="184" customFormat="1" ht="15.75">
      <c r="A36" s="196" t="s">
        <v>62</v>
      </c>
      <c r="B36" s="197" t="s">
        <v>44</v>
      </c>
      <c r="C36" s="197" t="s">
        <v>44</v>
      </c>
      <c r="D36" s="203">
        <f>прил.5!F163</f>
        <v>37522.800000000003</v>
      </c>
      <c r="E36" s="203">
        <f>прил.5!G163</f>
        <v>32145</v>
      </c>
      <c r="F36" s="203">
        <f>прил.5!H163</f>
        <v>32145</v>
      </c>
    </row>
    <row r="37" spans="1:6" s="184" customFormat="1" ht="15.75">
      <c r="A37" s="196" t="s">
        <v>63</v>
      </c>
      <c r="B37" s="197" t="s">
        <v>64</v>
      </c>
      <c r="C37" s="197" t="s">
        <v>469</v>
      </c>
      <c r="D37" s="203">
        <f>D38+D39+D42+D43+D41+D40</f>
        <v>2407953.9</v>
      </c>
      <c r="E37" s="203">
        <f>E38+E39+E42+E43+E41+E40</f>
        <v>2380029.9</v>
      </c>
      <c r="F37" s="203">
        <f>F38+F39+F42+F43+F41+F40</f>
        <v>2366051.7000000002</v>
      </c>
    </row>
    <row r="38" spans="1:6" s="184" customFormat="1" ht="15.75">
      <c r="A38" s="164" t="s">
        <v>421</v>
      </c>
      <c r="B38" s="197" t="s">
        <v>64</v>
      </c>
      <c r="C38" s="197" t="s">
        <v>10</v>
      </c>
      <c r="D38" s="203">
        <f>прил.5!F173</f>
        <v>1010156.6</v>
      </c>
      <c r="E38" s="203">
        <f>прил.5!G173</f>
        <v>1054849</v>
      </c>
      <c r="F38" s="203">
        <f>прил.5!H173</f>
        <v>1052705.5</v>
      </c>
    </row>
    <row r="39" spans="1:6" s="184" customFormat="1" ht="15.75">
      <c r="A39" s="164" t="s">
        <v>65</v>
      </c>
      <c r="B39" s="197" t="s">
        <v>64</v>
      </c>
      <c r="C39" s="197" t="s">
        <v>50</v>
      </c>
      <c r="D39" s="203">
        <f>прил.5!F189</f>
        <v>1246960.9000000001</v>
      </c>
      <c r="E39" s="203">
        <f>прил.5!G189</f>
        <v>1171293.0999999999</v>
      </c>
      <c r="F39" s="203">
        <f>прил.5!H189</f>
        <v>1159933.3999999999</v>
      </c>
    </row>
    <row r="40" spans="1:6" s="184" customFormat="1" ht="15.75">
      <c r="A40" s="177" t="s">
        <v>636</v>
      </c>
      <c r="B40" s="197" t="s">
        <v>64</v>
      </c>
      <c r="C40" s="197" t="s">
        <v>12</v>
      </c>
      <c r="D40" s="203">
        <f>прил.5!F209</f>
        <v>132387.70000000001</v>
      </c>
      <c r="E40" s="203">
        <f>прил.5!G209</f>
        <v>135416.70000000001</v>
      </c>
      <c r="F40" s="203">
        <f>прил.5!H209</f>
        <v>135416.70000000001</v>
      </c>
    </row>
    <row r="41" spans="1:6" s="184" customFormat="1" ht="31.5">
      <c r="A41" s="177" t="s">
        <v>445</v>
      </c>
      <c r="B41" s="197" t="s">
        <v>64</v>
      </c>
      <c r="C41" s="197" t="s">
        <v>44</v>
      </c>
      <c r="D41" s="203">
        <f>прил.5!F222</f>
        <v>3461.9</v>
      </c>
      <c r="E41" s="203">
        <f>прил.5!G222</f>
        <v>3461.9</v>
      </c>
      <c r="F41" s="203">
        <f>прил.5!H222</f>
        <v>3461.9</v>
      </c>
    </row>
    <row r="42" spans="1:6" s="184" customFormat="1" ht="15.75">
      <c r="A42" s="164" t="s">
        <v>74</v>
      </c>
      <c r="B42" s="197" t="s">
        <v>64</v>
      </c>
      <c r="C42" s="197" t="s">
        <v>64</v>
      </c>
      <c r="D42" s="203">
        <f>прил.5!F225</f>
        <v>2527.8000000000002</v>
      </c>
      <c r="E42" s="203">
        <f>прил.5!G225</f>
        <v>2751.1</v>
      </c>
      <c r="F42" s="203">
        <f>прил.5!H225</f>
        <v>2276.1</v>
      </c>
    </row>
    <row r="43" spans="1:6" s="184" customFormat="1" ht="15.75">
      <c r="A43" s="164" t="s">
        <v>75</v>
      </c>
      <c r="B43" s="197" t="s">
        <v>64</v>
      </c>
      <c r="C43" s="197" t="s">
        <v>33</v>
      </c>
      <c r="D43" s="203">
        <f>прил.5!F239</f>
        <v>12459</v>
      </c>
      <c r="E43" s="203">
        <f>прил.5!G239</f>
        <v>12258.1</v>
      </c>
      <c r="F43" s="203">
        <f>прил.5!H239</f>
        <v>12258.1</v>
      </c>
    </row>
    <row r="44" spans="1:6" s="184" customFormat="1" ht="15.75">
      <c r="A44" s="196" t="s">
        <v>143</v>
      </c>
      <c r="B44" s="197" t="s">
        <v>81</v>
      </c>
      <c r="C44" s="197" t="s">
        <v>469</v>
      </c>
      <c r="D44" s="203">
        <f>D45+D46</f>
        <v>156941.49999999997</v>
      </c>
      <c r="E44" s="203">
        <f>E45+E46</f>
        <v>136194.6</v>
      </c>
      <c r="F44" s="203">
        <f>F45+F46</f>
        <v>139539.6</v>
      </c>
    </row>
    <row r="45" spans="1:6" s="184" customFormat="1" ht="15.75">
      <c r="A45" s="196" t="s">
        <v>82</v>
      </c>
      <c r="B45" s="197" t="s">
        <v>81</v>
      </c>
      <c r="C45" s="197" t="s">
        <v>10</v>
      </c>
      <c r="D45" s="203">
        <f>прил.5!F247</f>
        <v>150582.69999999998</v>
      </c>
      <c r="E45" s="203">
        <f>прил.5!G247</f>
        <v>130392.6</v>
      </c>
      <c r="F45" s="203">
        <f>прил.5!H247</f>
        <v>133737.60000000001</v>
      </c>
    </row>
    <row r="46" spans="1:6" s="184" customFormat="1" ht="15.75">
      <c r="A46" s="196" t="str">
        <f>[1]прил.2!A191</f>
        <v>Другие вопросы в области  культуры и кинематографии</v>
      </c>
      <c r="B46" s="197" t="s">
        <v>81</v>
      </c>
      <c r="C46" s="197" t="s">
        <v>19</v>
      </c>
      <c r="D46" s="203">
        <f>прил.5!F270</f>
        <v>6358.8</v>
      </c>
      <c r="E46" s="203">
        <f>прил.5!G270</f>
        <v>5802</v>
      </c>
      <c r="F46" s="203">
        <f>прил.5!H270</f>
        <v>5802</v>
      </c>
    </row>
    <row r="47" spans="1:6" s="184" customFormat="1" ht="15.75">
      <c r="A47" s="196" t="s">
        <v>97</v>
      </c>
      <c r="B47" s="197">
        <v>10</v>
      </c>
      <c r="C47" s="197" t="s">
        <v>469</v>
      </c>
      <c r="D47" s="203">
        <f>D48+D49+D50+D51</f>
        <v>48822.5</v>
      </c>
      <c r="E47" s="203">
        <f>E48+E49+E50+E51</f>
        <v>45541</v>
      </c>
      <c r="F47" s="203">
        <f>F48+F49+F50+F51</f>
        <v>49898.8</v>
      </c>
    </row>
    <row r="48" spans="1:6" s="184" customFormat="1" ht="15.75">
      <c r="A48" s="196" t="s">
        <v>98</v>
      </c>
      <c r="B48" s="197">
        <v>10</v>
      </c>
      <c r="C48" s="197" t="s">
        <v>10</v>
      </c>
      <c r="D48" s="203">
        <f>прил.5!F276</f>
        <v>8822.6</v>
      </c>
      <c r="E48" s="203">
        <f>прил.5!G276</f>
        <v>9000</v>
      </c>
      <c r="F48" s="203">
        <f>прил.5!H276</f>
        <v>9000</v>
      </c>
    </row>
    <row r="49" spans="1:13" s="184" customFormat="1" ht="15.75">
      <c r="A49" s="196" t="s">
        <v>103</v>
      </c>
      <c r="B49" s="197" t="s">
        <v>94</v>
      </c>
      <c r="C49" s="197" t="s">
        <v>12</v>
      </c>
      <c r="D49" s="203">
        <f>прил.5!F279</f>
        <v>15734.4</v>
      </c>
      <c r="E49" s="203">
        <f>прил.5!G279</f>
        <v>5500</v>
      </c>
      <c r="F49" s="203">
        <f>прил.5!H279</f>
        <v>5500</v>
      </c>
    </row>
    <row r="50" spans="1:13" s="184" customFormat="1" ht="15.75">
      <c r="A50" s="164" t="s">
        <v>233</v>
      </c>
      <c r="B50" s="197" t="s">
        <v>94</v>
      </c>
      <c r="C50" s="197" t="s">
        <v>19</v>
      </c>
      <c r="D50" s="203">
        <f>прил.5!F282</f>
        <v>16865</v>
      </c>
      <c r="E50" s="203">
        <f>прил.5!G282</f>
        <v>23610.2</v>
      </c>
      <c r="F50" s="203">
        <f>прил.5!H282</f>
        <v>27235</v>
      </c>
    </row>
    <row r="51" spans="1:13" s="184" customFormat="1" ht="15.75">
      <c r="A51" s="164" t="s">
        <v>244</v>
      </c>
      <c r="B51" s="197" t="s">
        <v>94</v>
      </c>
      <c r="C51" s="197" t="s">
        <v>89</v>
      </c>
      <c r="D51" s="203">
        <f>прил.5!F289</f>
        <v>7400.5000000000009</v>
      </c>
      <c r="E51" s="203">
        <f>прил.5!G289</f>
        <v>7430.8</v>
      </c>
      <c r="F51" s="203">
        <f>прил.5!H289</f>
        <v>8163.8</v>
      </c>
    </row>
    <row r="52" spans="1:13" s="184" customFormat="1" ht="15.75">
      <c r="A52" s="196" t="str">
        <f>[1]прил.2!A289</f>
        <v>ФИЗИЧЕСКАЯ КУЛЬТУРА И СПОРТ</v>
      </c>
      <c r="B52" s="197" t="s">
        <v>22</v>
      </c>
      <c r="C52" s="197" t="s">
        <v>469</v>
      </c>
      <c r="D52" s="203">
        <f>D53+D55+D54</f>
        <v>98900.1</v>
      </c>
      <c r="E52" s="203">
        <f>E53+E55+E54</f>
        <v>86609.799999999988</v>
      </c>
      <c r="F52" s="203">
        <f>F53+F55+F54</f>
        <v>35055.700000000004</v>
      </c>
    </row>
    <row r="53" spans="1:13" s="184" customFormat="1" ht="15.75">
      <c r="A53" s="196" t="s">
        <v>416</v>
      </c>
      <c r="B53" s="197" t="s">
        <v>22</v>
      </c>
      <c r="C53" s="197" t="s">
        <v>10</v>
      </c>
      <c r="D53" s="203">
        <f>прил.5!F296</f>
        <v>79542.8</v>
      </c>
      <c r="E53" s="203">
        <f>прил.5!G296</f>
        <v>83843.899999999994</v>
      </c>
      <c r="F53" s="203">
        <f>прил.5!H296</f>
        <v>32289.800000000003</v>
      </c>
    </row>
    <row r="54" spans="1:13" s="184" customFormat="1" ht="15.75">
      <c r="A54" s="196" t="s">
        <v>880</v>
      </c>
      <c r="B54" s="197" t="s">
        <v>22</v>
      </c>
      <c r="C54" s="197" t="s">
        <v>50</v>
      </c>
      <c r="D54" s="203">
        <f>прил.4!G369+прил.4!G183</f>
        <v>17226.5</v>
      </c>
      <c r="E54" s="203">
        <f>прил.4!H369+прил.4!H183</f>
        <v>0</v>
      </c>
      <c r="F54" s="203">
        <f>прил.4!I369+прил.4!I183</f>
        <v>0</v>
      </c>
    </row>
    <row r="55" spans="1:13" s="184" customFormat="1" ht="15.75">
      <c r="A55" s="164" t="s">
        <v>139</v>
      </c>
      <c r="B55" s="197" t="s">
        <v>22</v>
      </c>
      <c r="C55" s="197" t="s">
        <v>44</v>
      </c>
      <c r="D55" s="203">
        <f>прил.5!F312</f>
        <v>2130.8000000000002</v>
      </c>
      <c r="E55" s="203">
        <f>прил.5!G312</f>
        <v>2765.9</v>
      </c>
      <c r="F55" s="203">
        <f>прил.5!H312</f>
        <v>2765.9</v>
      </c>
    </row>
    <row r="56" spans="1:13" s="184" customFormat="1" ht="15.75">
      <c r="A56" s="164" t="s">
        <v>135</v>
      </c>
      <c r="B56" s="197" t="s">
        <v>24</v>
      </c>
      <c r="C56" s="197" t="s">
        <v>469</v>
      </c>
      <c r="D56" s="203">
        <f>D57</f>
        <v>6779.0999999999995</v>
      </c>
      <c r="E56" s="203">
        <f>E57</f>
        <v>6948.2</v>
      </c>
      <c r="F56" s="203">
        <f>F57</f>
        <v>6956.1</v>
      </c>
    </row>
    <row r="57" spans="1:13" s="184" customFormat="1" ht="15.75">
      <c r="A57" s="164" t="s">
        <v>136</v>
      </c>
      <c r="B57" s="197" t="s">
        <v>24</v>
      </c>
      <c r="C57" s="197" t="s">
        <v>50</v>
      </c>
      <c r="D57" s="203">
        <f>прил.5!F318</f>
        <v>6779.0999999999995</v>
      </c>
      <c r="E57" s="203">
        <f>прил.5!G318</f>
        <v>6948.2</v>
      </c>
      <c r="F57" s="203">
        <f>прил.5!H318</f>
        <v>6956.1</v>
      </c>
    </row>
    <row r="58" spans="1:13" s="184" customFormat="1" ht="31.5" customHeight="1">
      <c r="A58" s="164" t="s">
        <v>162</v>
      </c>
      <c r="B58" s="197" t="s">
        <v>154</v>
      </c>
      <c r="C58" s="197" t="s">
        <v>469</v>
      </c>
      <c r="D58" s="203">
        <f>D59</f>
        <v>1458.3</v>
      </c>
      <c r="E58" s="203">
        <f>E59</f>
        <v>8750</v>
      </c>
      <c r="F58" s="203">
        <f>F59</f>
        <v>8750</v>
      </c>
    </row>
    <row r="59" spans="1:13" s="184" customFormat="1" ht="31.5">
      <c r="A59" s="180" t="s">
        <v>166</v>
      </c>
      <c r="B59" s="197" t="s">
        <v>154</v>
      </c>
      <c r="C59" s="197" t="s">
        <v>10</v>
      </c>
      <c r="D59" s="203">
        <f>прил.5!F326</f>
        <v>1458.3</v>
      </c>
      <c r="E59" s="203">
        <f>прил.5!G326</f>
        <v>8750</v>
      </c>
      <c r="F59" s="203">
        <f>прил.5!H326</f>
        <v>8750</v>
      </c>
    </row>
    <row r="60" spans="1:13" s="189" customFormat="1" ht="15.75">
      <c r="A60" s="198" t="s">
        <v>104</v>
      </c>
      <c r="B60" s="195"/>
      <c r="C60" s="195"/>
      <c r="D60" s="300">
        <f>D19+D25+D28+D32+D37+D44+D47+D52+D57+D18+D58</f>
        <v>4419486.7999999989</v>
      </c>
      <c r="E60" s="300">
        <f>E19+E25+E28+E32+E37+E44+E47+E52+E57+E18+E58</f>
        <v>4116750.6</v>
      </c>
      <c r="F60" s="300">
        <f>F19+F25+F28+F32+F37+F44+F47+F52+F57+F18+F58</f>
        <v>3978208.6000000006</v>
      </c>
    </row>
    <row r="61" spans="1:13" s="184" customFormat="1" ht="15.75">
      <c r="A61" s="190"/>
      <c r="B61" s="191"/>
      <c r="C61" s="191"/>
      <c r="D61" s="191"/>
      <c r="E61" s="192" t="s">
        <v>371</v>
      </c>
      <c r="F61" s="192" t="s">
        <v>371</v>
      </c>
    </row>
    <row r="62" spans="1:13" s="184" customFormat="1" ht="15.75">
      <c r="A62" s="185"/>
      <c r="B62" s="185"/>
      <c r="C62" s="185"/>
      <c r="D62" s="306"/>
      <c r="E62" s="306"/>
      <c r="F62" s="306"/>
    </row>
    <row r="63" spans="1:13" s="129" customFormat="1" ht="15.75">
      <c r="A63" s="129" t="s">
        <v>1149</v>
      </c>
      <c r="B63" s="63"/>
      <c r="C63" s="63"/>
      <c r="D63" s="63"/>
      <c r="E63" s="63"/>
      <c r="F63" s="63"/>
      <c r="G63" s="205"/>
      <c r="H63" s="205"/>
      <c r="I63" s="205"/>
      <c r="K63" s="235"/>
      <c r="L63" s="235"/>
      <c r="M63" s="235"/>
    </row>
    <row r="64" spans="1:13" s="129" customFormat="1" ht="15.75">
      <c r="A64" s="129" t="s">
        <v>1141</v>
      </c>
      <c r="B64" s="63"/>
      <c r="C64" s="63"/>
      <c r="D64" s="63"/>
      <c r="E64" s="63"/>
      <c r="F64" s="63"/>
      <c r="G64" s="205"/>
      <c r="H64" s="205"/>
      <c r="I64" s="205"/>
    </row>
    <row r="65" spans="1:6" s="184" customFormat="1" ht="15.75">
      <c r="A65" s="336" t="s">
        <v>1147</v>
      </c>
      <c r="B65" s="336"/>
      <c r="C65" s="336"/>
      <c r="D65" s="336"/>
      <c r="E65" s="336"/>
      <c r="F65" s="336"/>
    </row>
    <row r="66" spans="1:6" s="184" customFormat="1" ht="15.75">
      <c r="A66" s="185"/>
      <c r="E66" s="186"/>
      <c r="F66" s="186"/>
    </row>
    <row r="67" spans="1:6" s="184" customFormat="1" ht="15.75">
      <c r="A67" s="185"/>
      <c r="E67" s="186"/>
      <c r="F67" s="186"/>
    </row>
    <row r="68" spans="1:6" s="184" customFormat="1" ht="15.75">
      <c r="A68" s="185"/>
      <c r="E68" s="186"/>
      <c r="F68" s="186"/>
    </row>
    <row r="69" spans="1:6" s="184" customFormat="1" ht="15.75">
      <c r="A69" s="185"/>
      <c r="E69" s="186"/>
      <c r="F69" s="186"/>
    </row>
    <row r="70" spans="1:6" s="184" customFormat="1" ht="15.75">
      <c r="A70" s="185"/>
      <c r="E70" s="186"/>
      <c r="F70" s="186"/>
    </row>
    <row r="71" spans="1:6" s="184" customFormat="1" ht="15.75">
      <c r="A71" s="185"/>
      <c r="E71" s="186"/>
      <c r="F71" s="186"/>
    </row>
    <row r="72" spans="1:6" s="184" customFormat="1" ht="15.75">
      <c r="A72" s="185"/>
      <c r="E72" s="186"/>
      <c r="F72" s="186"/>
    </row>
    <row r="73" spans="1:6" s="184" customFormat="1" ht="15.75">
      <c r="A73" s="185"/>
      <c r="E73" s="186"/>
      <c r="F73" s="186"/>
    </row>
    <row r="74" spans="1:6" s="184" customFormat="1" ht="15.75">
      <c r="A74" s="185"/>
      <c r="E74" s="186"/>
      <c r="F74" s="186"/>
    </row>
    <row r="75" spans="1:6" s="184" customFormat="1" ht="15.75">
      <c r="A75" s="185"/>
      <c r="E75" s="186"/>
      <c r="F75" s="186"/>
    </row>
    <row r="76" spans="1:6" s="184" customFormat="1" ht="15.75">
      <c r="A76" s="185"/>
      <c r="E76" s="186"/>
      <c r="F76" s="186"/>
    </row>
    <row r="77" spans="1:6" s="184" customFormat="1" ht="15.75">
      <c r="A77" s="185"/>
      <c r="E77" s="186"/>
      <c r="F77" s="186"/>
    </row>
    <row r="78" spans="1:6" s="184" customFormat="1" ht="15.75">
      <c r="A78" s="185"/>
      <c r="E78" s="186"/>
      <c r="F78" s="186"/>
    </row>
    <row r="79" spans="1:6" s="184" customFormat="1" ht="15.75">
      <c r="A79" s="185"/>
      <c r="E79" s="186"/>
      <c r="F79" s="186"/>
    </row>
    <row r="80" spans="1:6" s="184" customFormat="1" ht="15.75">
      <c r="A80" s="185"/>
      <c r="E80" s="186"/>
      <c r="F80" s="186"/>
    </row>
    <row r="81" spans="1:6" s="184" customFormat="1" ht="15.75">
      <c r="A81" s="185"/>
      <c r="E81" s="186"/>
      <c r="F81" s="186"/>
    </row>
    <row r="82" spans="1:6" s="184" customFormat="1" ht="15.75">
      <c r="A82" s="185"/>
      <c r="E82" s="186"/>
      <c r="F82" s="186"/>
    </row>
    <row r="83" spans="1:6" s="184" customFormat="1" ht="15.75">
      <c r="A83" s="185"/>
      <c r="E83" s="186"/>
      <c r="F83" s="186"/>
    </row>
    <row r="84" spans="1:6" s="184" customFormat="1" ht="15.75">
      <c r="A84" s="185"/>
      <c r="E84" s="186"/>
      <c r="F84" s="186"/>
    </row>
    <row r="85" spans="1:6" s="184" customFormat="1" ht="15.75">
      <c r="A85" s="185"/>
      <c r="E85" s="186"/>
      <c r="F85" s="186"/>
    </row>
    <row r="86" spans="1:6" s="184" customFormat="1" ht="15.75">
      <c r="A86" s="185"/>
      <c r="E86" s="186"/>
      <c r="F86" s="186"/>
    </row>
    <row r="87" spans="1:6" s="184" customFormat="1" ht="15.75">
      <c r="A87" s="185"/>
      <c r="E87" s="186"/>
      <c r="F87" s="186"/>
    </row>
    <row r="88" spans="1:6" s="184" customFormat="1" ht="15.75">
      <c r="A88" s="185"/>
      <c r="E88" s="186"/>
      <c r="F88" s="186"/>
    </row>
    <row r="89" spans="1:6" s="184" customFormat="1" ht="15.75">
      <c r="A89" s="185"/>
      <c r="E89" s="186"/>
      <c r="F89" s="186"/>
    </row>
    <row r="90" spans="1:6" s="184" customFormat="1" ht="15.75">
      <c r="A90" s="185"/>
      <c r="E90" s="186"/>
      <c r="F90" s="186"/>
    </row>
    <row r="91" spans="1:6" s="184" customFormat="1" ht="15.75">
      <c r="A91" s="185"/>
      <c r="E91" s="186"/>
      <c r="F91" s="186"/>
    </row>
    <row r="92" spans="1:6" s="184" customFormat="1" ht="15.75">
      <c r="A92" s="185"/>
      <c r="E92" s="186"/>
      <c r="F92" s="186"/>
    </row>
    <row r="93" spans="1:6" s="184" customFormat="1" ht="15.75">
      <c r="A93" s="185"/>
      <c r="E93" s="186"/>
      <c r="F93" s="186"/>
    </row>
    <row r="94" spans="1:6" s="184" customFormat="1" ht="15.75">
      <c r="A94" s="185"/>
      <c r="E94" s="186"/>
      <c r="F94" s="186"/>
    </row>
    <row r="95" spans="1:6" s="184" customFormat="1" ht="15.75">
      <c r="A95" s="185"/>
      <c r="E95" s="186"/>
      <c r="F95" s="186"/>
    </row>
    <row r="96" spans="1:6" s="184" customFormat="1" ht="15.75">
      <c r="A96" s="185"/>
      <c r="E96" s="186"/>
      <c r="F96" s="186"/>
    </row>
    <row r="97" spans="1:6" s="184" customFormat="1" ht="15.75">
      <c r="A97" s="185"/>
      <c r="E97" s="186"/>
      <c r="F97" s="186"/>
    </row>
    <row r="98" spans="1:6" s="184" customFormat="1" ht="15.75">
      <c r="A98" s="185"/>
      <c r="E98" s="186"/>
      <c r="F98" s="186"/>
    </row>
    <row r="99" spans="1:6" s="184" customFormat="1" ht="15.75">
      <c r="A99" s="185"/>
      <c r="E99" s="186"/>
      <c r="F99" s="186"/>
    </row>
    <row r="100" spans="1:6" s="184" customFormat="1" ht="15.75">
      <c r="A100" s="185"/>
      <c r="E100" s="186"/>
      <c r="F100" s="186"/>
    </row>
    <row r="101" spans="1:6" s="184" customFormat="1" ht="15.75">
      <c r="A101" s="185"/>
      <c r="E101" s="186"/>
      <c r="F101" s="186"/>
    </row>
    <row r="102" spans="1:6" s="184" customFormat="1" ht="15.75">
      <c r="A102" s="185"/>
      <c r="E102" s="186"/>
      <c r="F102" s="186"/>
    </row>
    <row r="103" spans="1:6" s="184" customFormat="1" ht="15.75">
      <c r="A103" s="185"/>
      <c r="E103" s="186"/>
      <c r="F103" s="186"/>
    </row>
    <row r="104" spans="1:6" s="184" customFormat="1" ht="15.75">
      <c r="A104" s="185"/>
      <c r="E104" s="186"/>
      <c r="F104" s="186"/>
    </row>
    <row r="105" spans="1:6" s="184" customFormat="1" ht="15.75">
      <c r="A105" s="185"/>
      <c r="E105" s="186"/>
      <c r="F105" s="186"/>
    </row>
    <row r="106" spans="1:6" s="184" customFormat="1" ht="15.75">
      <c r="A106" s="185"/>
      <c r="E106" s="186"/>
      <c r="F106" s="186"/>
    </row>
    <row r="107" spans="1:6" s="184" customFormat="1" ht="15.75">
      <c r="A107" s="185"/>
      <c r="E107" s="186"/>
      <c r="F107" s="186"/>
    </row>
    <row r="108" spans="1:6" s="184" customFormat="1" ht="15.75">
      <c r="A108" s="185"/>
      <c r="E108" s="186"/>
      <c r="F108" s="186"/>
    </row>
    <row r="109" spans="1:6" s="184" customFormat="1" ht="15.75">
      <c r="A109" s="185"/>
      <c r="E109" s="186"/>
      <c r="F109" s="186"/>
    </row>
    <row r="110" spans="1:6" s="184" customFormat="1" ht="15.75">
      <c r="A110" s="185"/>
      <c r="E110" s="186"/>
      <c r="F110" s="186"/>
    </row>
    <row r="111" spans="1:6" s="184" customFormat="1" ht="15.75">
      <c r="A111" s="185"/>
      <c r="E111" s="186"/>
      <c r="F111" s="186"/>
    </row>
    <row r="112" spans="1:6" s="184" customFormat="1" ht="15.75">
      <c r="A112" s="185"/>
      <c r="E112" s="186"/>
      <c r="F112" s="186"/>
    </row>
    <row r="113" spans="1:6" s="184" customFormat="1" ht="15.75">
      <c r="A113" s="185"/>
      <c r="E113" s="186"/>
      <c r="F113" s="186"/>
    </row>
    <row r="114" spans="1:6" s="184" customFormat="1" ht="15.75">
      <c r="A114" s="185"/>
      <c r="E114" s="186"/>
      <c r="F114" s="186"/>
    </row>
    <row r="115" spans="1:6" s="184" customFormat="1" ht="15.75">
      <c r="A115" s="185"/>
      <c r="E115" s="186"/>
      <c r="F115" s="186"/>
    </row>
    <row r="116" spans="1:6" s="184" customFormat="1" ht="15.75">
      <c r="A116" s="185"/>
      <c r="E116" s="186"/>
      <c r="F116" s="186"/>
    </row>
    <row r="117" spans="1:6" s="184" customFormat="1" ht="15.75">
      <c r="A117" s="185"/>
      <c r="E117" s="186"/>
      <c r="F117" s="186"/>
    </row>
    <row r="118" spans="1:6" s="184" customFormat="1" ht="15.75">
      <c r="A118" s="185"/>
      <c r="E118" s="186"/>
      <c r="F118" s="186"/>
    </row>
    <row r="119" spans="1:6" s="184" customFormat="1" ht="15.75">
      <c r="A119" s="185"/>
      <c r="E119" s="186"/>
      <c r="F119" s="186"/>
    </row>
    <row r="120" spans="1:6" s="184" customFormat="1" ht="15.75">
      <c r="A120" s="185"/>
      <c r="E120" s="186"/>
      <c r="F120" s="186"/>
    </row>
    <row r="121" spans="1:6" s="184" customFormat="1" ht="15.75">
      <c r="A121" s="185"/>
      <c r="E121" s="186"/>
      <c r="F121" s="186"/>
    </row>
    <row r="122" spans="1:6" s="184" customFormat="1" ht="15.75">
      <c r="A122" s="185"/>
      <c r="E122" s="186"/>
      <c r="F122" s="186"/>
    </row>
    <row r="123" spans="1:6" s="184" customFormat="1" ht="15.75">
      <c r="A123" s="185"/>
      <c r="E123" s="186"/>
      <c r="F123" s="186"/>
    </row>
    <row r="124" spans="1:6" s="184" customFormat="1" ht="15.75">
      <c r="A124" s="185"/>
      <c r="E124" s="186"/>
      <c r="F124" s="186"/>
    </row>
    <row r="125" spans="1:6" s="184" customFormat="1" ht="15.75">
      <c r="A125" s="185"/>
      <c r="E125" s="186"/>
      <c r="F125" s="186"/>
    </row>
    <row r="126" spans="1:6" s="184" customFormat="1" ht="15.75">
      <c r="A126" s="185"/>
      <c r="E126" s="186"/>
      <c r="F126" s="186"/>
    </row>
    <row r="127" spans="1:6" s="184" customFormat="1" ht="15.75">
      <c r="A127" s="185"/>
      <c r="E127" s="186"/>
      <c r="F127" s="186"/>
    </row>
    <row r="128" spans="1:6" s="184" customFormat="1" ht="15.75">
      <c r="A128" s="185"/>
      <c r="E128" s="186"/>
      <c r="F128" s="186"/>
    </row>
    <row r="129" spans="1:6" s="184" customFormat="1" ht="15.75">
      <c r="A129" s="185"/>
      <c r="E129" s="186"/>
      <c r="F129" s="186"/>
    </row>
    <row r="130" spans="1:6" s="184" customFormat="1" ht="15.75">
      <c r="A130" s="185"/>
      <c r="E130" s="186"/>
      <c r="F130" s="186"/>
    </row>
    <row r="131" spans="1:6" s="184" customFormat="1" ht="15.75">
      <c r="A131" s="185"/>
      <c r="E131" s="186"/>
      <c r="F131" s="186"/>
    </row>
    <row r="132" spans="1:6" s="184" customFormat="1" ht="15.75">
      <c r="A132" s="185"/>
      <c r="E132" s="186"/>
      <c r="F132" s="186"/>
    </row>
    <row r="133" spans="1:6" s="184" customFormat="1" ht="15.75">
      <c r="A133" s="185"/>
      <c r="E133" s="186"/>
      <c r="F133" s="186"/>
    </row>
    <row r="134" spans="1:6" s="184" customFormat="1" ht="15.75">
      <c r="A134" s="185"/>
      <c r="E134" s="186"/>
      <c r="F134" s="186"/>
    </row>
    <row r="135" spans="1:6" s="184" customFormat="1" ht="15.75">
      <c r="A135" s="185"/>
      <c r="E135" s="186"/>
      <c r="F135" s="186"/>
    </row>
    <row r="136" spans="1:6" s="184" customFormat="1" ht="15.75">
      <c r="A136" s="185"/>
      <c r="E136" s="186"/>
      <c r="F136" s="186"/>
    </row>
    <row r="137" spans="1:6" s="184" customFormat="1" ht="15.75">
      <c r="A137" s="185"/>
      <c r="E137" s="186"/>
      <c r="F137" s="186"/>
    </row>
    <row r="138" spans="1:6" s="184" customFormat="1" ht="15.75">
      <c r="A138" s="185"/>
      <c r="E138" s="186"/>
      <c r="F138" s="186"/>
    </row>
    <row r="139" spans="1:6" s="184" customFormat="1" ht="15.75">
      <c r="A139" s="185"/>
      <c r="E139" s="186"/>
      <c r="F139" s="186"/>
    </row>
    <row r="140" spans="1:6" s="184" customFormat="1" ht="15.75">
      <c r="A140" s="185"/>
      <c r="E140" s="186"/>
      <c r="F140" s="186"/>
    </row>
    <row r="141" spans="1:6" s="184" customFormat="1" ht="15.75">
      <c r="A141" s="185"/>
      <c r="E141" s="186"/>
      <c r="F141" s="186"/>
    </row>
    <row r="142" spans="1:6" s="184" customFormat="1" ht="15.75">
      <c r="A142" s="185"/>
      <c r="E142" s="186"/>
      <c r="F142" s="186"/>
    </row>
    <row r="143" spans="1:6" s="184" customFormat="1" ht="15.75">
      <c r="A143" s="185"/>
      <c r="E143" s="186"/>
      <c r="F143" s="186"/>
    </row>
    <row r="144" spans="1:6" s="184" customFormat="1" ht="15.75">
      <c r="A144" s="185"/>
      <c r="E144" s="186"/>
      <c r="F144" s="186"/>
    </row>
    <row r="145" spans="1:6" s="184" customFormat="1" ht="15.75">
      <c r="A145" s="185"/>
      <c r="E145" s="186"/>
      <c r="F145" s="186"/>
    </row>
    <row r="146" spans="1:6" s="184" customFormat="1" ht="15.75">
      <c r="A146" s="185"/>
      <c r="E146" s="186"/>
      <c r="F146" s="186"/>
    </row>
  </sheetData>
  <mergeCells count="9">
    <mergeCell ref="A65:F65"/>
    <mergeCell ref="A10:F10"/>
    <mergeCell ref="A11:F11"/>
    <mergeCell ref="A12:F12"/>
    <mergeCell ref="E15:E16"/>
    <mergeCell ref="F15:F16"/>
    <mergeCell ref="A15:A16"/>
    <mergeCell ref="B15:C15"/>
    <mergeCell ref="D15:D16"/>
  </mergeCells>
  <pageMargins left="0.59055118110236227" right="0.59055118110236227" top="1.1811023622047245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L26" sqref="L26"/>
    </sheetView>
  </sheetViews>
  <sheetFormatPr defaultRowHeight="15.75"/>
  <cols>
    <col min="1" max="1" width="49" style="237" customWidth="1"/>
    <col min="2" max="3" width="9.5703125" style="237" customWidth="1"/>
    <col min="4" max="4" width="12.7109375" style="237" customWidth="1"/>
    <col min="5" max="6" width="10.85546875" style="237" customWidth="1"/>
    <col min="7" max="8" width="12.85546875" style="237" customWidth="1"/>
    <col min="9" max="16384" width="9.140625" style="237"/>
  </cols>
  <sheetData>
    <row r="1" spans="1:9">
      <c r="H1" s="171" t="s">
        <v>890</v>
      </c>
      <c r="I1" s="174"/>
    </row>
    <row r="2" spans="1:9">
      <c r="H2" s="168" t="s">
        <v>433</v>
      </c>
      <c r="I2" s="169"/>
    </row>
    <row r="3" spans="1:9">
      <c r="H3" s="15" t="s">
        <v>1119</v>
      </c>
      <c r="I3" s="169"/>
    </row>
    <row r="4" spans="1:9">
      <c r="H4" s="15" t="s">
        <v>1120</v>
      </c>
      <c r="I4" s="169"/>
    </row>
    <row r="5" spans="1:9">
      <c r="H5" s="15" t="s">
        <v>1121</v>
      </c>
      <c r="I5" s="169"/>
    </row>
    <row r="6" spans="1:9">
      <c r="H6" s="169" t="s">
        <v>1122</v>
      </c>
      <c r="I6" s="170"/>
    </row>
    <row r="7" spans="1:9">
      <c r="H7" s="321" t="s">
        <v>1154</v>
      </c>
      <c r="I7" s="170"/>
    </row>
    <row r="8" spans="1:9" s="184" customFormat="1">
      <c r="A8" s="337" t="s">
        <v>498</v>
      </c>
      <c r="B8" s="337"/>
      <c r="C8" s="337"/>
      <c r="D8" s="337"/>
      <c r="E8" s="337"/>
      <c r="F8" s="337"/>
      <c r="G8" s="337"/>
      <c r="H8" s="337"/>
    </row>
    <row r="9" spans="1:9" s="184" customFormat="1">
      <c r="A9" s="337" t="s">
        <v>1035</v>
      </c>
      <c r="B9" s="337"/>
      <c r="C9" s="337"/>
      <c r="D9" s="337"/>
      <c r="E9" s="337"/>
      <c r="F9" s="337"/>
      <c r="G9" s="337"/>
      <c r="H9" s="337"/>
    </row>
    <row r="10" spans="1:9">
      <c r="A10" s="413" t="s">
        <v>1036</v>
      </c>
      <c r="B10" s="413"/>
      <c r="C10" s="413"/>
      <c r="D10" s="413"/>
      <c r="E10" s="413"/>
      <c r="F10" s="413"/>
      <c r="G10" s="413"/>
      <c r="H10" s="413"/>
    </row>
    <row r="11" spans="1:9">
      <c r="A11" s="413" t="s">
        <v>1118</v>
      </c>
      <c r="B11" s="413"/>
      <c r="C11" s="413"/>
      <c r="D11" s="413"/>
      <c r="E11" s="413"/>
      <c r="F11" s="413"/>
      <c r="G11" s="413"/>
      <c r="H11" s="413"/>
    </row>
    <row r="12" spans="1:9">
      <c r="H12" s="2" t="s">
        <v>0</v>
      </c>
    </row>
    <row r="13" spans="1:9">
      <c r="A13" s="412" t="s">
        <v>1037</v>
      </c>
      <c r="B13" s="412" t="s">
        <v>5</v>
      </c>
      <c r="C13" s="412" t="s">
        <v>6</v>
      </c>
      <c r="D13" s="412" t="s">
        <v>107</v>
      </c>
      <c r="E13" s="412" t="s">
        <v>8</v>
      </c>
      <c r="F13" s="412" t="s">
        <v>1038</v>
      </c>
      <c r="G13" s="412"/>
      <c r="H13" s="412"/>
    </row>
    <row r="14" spans="1:9">
      <c r="A14" s="412"/>
      <c r="B14" s="412"/>
      <c r="C14" s="412"/>
      <c r="D14" s="412"/>
      <c r="E14" s="412"/>
      <c r="F14" s="320" t="s">
        <v>1040</v>
      </c>
      <c r="G14" s="320" t="s">
        <v>622</v>
      </c>
      <c r="H14" s="320" t="s">
        <v>665</v>
      </c>
    </row>
    <row r="15" spans="1:9">
      <c r="A15" s="320">
        <v>1</v>
      </c>
      <c r="B15" s="320">
        <v>2</v>
      </c>
      <c r="C15" s="320">
        <v>3</v>
      </c>
      <c r="D15" s="320">
        <v>4</v>
      </c>
      <c r="E15" s="320">
        <v>5</v>
      </c>
      <c r="F15" s="320">
        <v>6</v>
      </c>
      <c r="G15" s="320">
        <v>7</v>
      </c>
      <c r="H15" s="320">
        <v>8</v>
      </c>
    </row>
    <row r="16" spans="1:9" ht="94.5">
      <c r="A16" s="283" t="s">
        <v>1115</v>
      </c>
      <c r="B16" s="245" t="s">
        <v>19</v>
      </c>
      <c r="C16" s="245" t="s">
        <v>33</v>
      </c>
      <c r="D16" s="245">
        <v>2420473010</v>
      </c>
      <c r="E16" s="245">
        <v>400</v>
      </c>
      <c r="F16" s="230">
        <v>27897.5</v>
      </c>
      <c r="G16" s="281">
        <v>0</v>
      </c>
      <c r="H16" s="281">
        <v>0</v>
      </c>
    </row>
    <row r="17" spans="1:13" ht="47.25">
      <c r="A17" s="283" t="s">
        <v>1116</v>
      </c>
      <c r="B17" s="245" t="s">
        <v>44</v>
      </c>
      <c r="C17" s="245" t="s">
        <v>50</v>
      </c>
      <c r="D17" s="245">
        <v>520299998</v>
      </c>
      <c r="E17" s="245">
        <v>400</v>
      </c>
      <c r="F17" s="230">
        <v>40880.699999999997</v>
      </c>
      <c r="G17" s="281">
        <v>0</v>
      </c>
      <c r="H17" s="281">
        <v>0</v>
      </c>
    </row>
    <row r="18" spans="1:13" ht="63">
      <c r="A18" s="283" t="s">
        <v>1117</v>
      </c>
      <c r="B18" s="245">
        <v>11</v>
      </c>
      <c r="C18" s="245" t="s">
        <v>50</v>
      </c>
      <c r="D18" s="245" t="s">
        <v>871</v>
      </c>
      <c r="E18" s="245">
        <v>400</v>
      </c>
      <c r="F18" s="230">
        <v>17076.5</v>
      </c>
      <c r="G18" s="281"/>
      <c r="H18" s="281"/>
    </row>
    <row r="19" spans="1:13">
      <c r="A19" s="283" t="s">
        <v>1039</v>
      </c>
      <c r="B19" s="245" t="s">
        <v>81</v>
      </c>
      <c r="C19" s="245" t="s">
        <v>10</v>
      </c>
      <c r="D19" s="245"/>
      <c r="E19" s="245"/>
      <c r="F19" s="230">
        <f>прил.4!G238</f>
        <v>0</v>
      </c>
      <c r="G19" s="281">
        <f>прил.4!H238</f>
        <v>239.10000000000002</v>
      </c>
      <c r="H19" s="281">
        <f>прил.4!I238</f>
        <v>40989.5</v>
      </c>
    </row>
    <row r="20" spans="1:13" s="286" customFormat="1">
      <c r="A20" s="284" t="s">
        <v>322</v>
      </c>
      <c r="B20" s="284"/>
      <c r="C20" s="284"/>
      <c r="D20" s="284"/>
      <c r="E20" s="284"/>
      <c r="F20" s="285">
        <f>SUM(F16:F19)</f>
        <v>85854.7</v>
      </c>
      <c r="G20" s="285">
        <f>SUM(G19:G19)</f>
        <v>239.10000000000002</v>
      </c>
      <c r="H20" s="285">
        <f>SUM(H19:H19)</f>
        <v>40989.5</v>
      </c>
    </row>
    <row r="21" spans="1:13" s="163" customFormat="1">
      <c r="A21" s="287"/>
      <c r="B21" s="287"/>
      <c r="C21" s="287"/>
      <c r="D21" s="287"/>
      <c r="E21" s="287"/>
      <c r="F21" s="287"/>
    </row>
    <row r="22" spans="1:13" s="129" customFormat="1">
      <c r="A22" s="129" t="s">
        <v>1149</v>
      </c>
      <c r="B22" s="63"/>
      <c r="C22" s="63"/>
      <c r="D22" s="63"/>
      <c r="E22" s="63"/>
      <c r="F22" s="63"/>
      <c r="G22" s="63"/>
      <c r="H22" s="205"/>
      <c r="I22" s="205"/>
      <c r="K22" s="235"/>
      <c r="L22" s="235"/>
      <c r="M22" s="235"/>
    </row>
    <row r="23" spans="1:13" s="129" customFormat="1">
      <c r="A23" s="129" t="s">
        <v>1141</v>
      </c>
      <c r="B23" s="63"/>
      <c r="C23" s="63"/>
      <c r="D23" s="63"/>
      <c r="E23" s="63"/>
      <c r="F23" s="63"/>
      <c r="G23" s="63"/>
      <c r="H23" s="205"/>
      <c r="I23" s="205"/>
    </row>
    <row r="24" spans="1:13">
      <c r="A24" s="408" t="s">
        <v>1150</v>
      </c>
      <c r="B24" s="408"/>
      <c r="C24" s="408"/>
      <c r="D24" s="408"/>
      <c r="E24" s="408"/>
      <c r="F24" s="408"/>
      <c r="G24" s="408"/>
      <c r="H24" s="408"/>
    </row>
  </sheetData>
  <mergeCells count="11">
    <mergeCell ref="A24:H24"/>
    <mergeCell ref="F13:H13"/>
    <mergeCell ref="A8:H8"/>
    <mergeCell ref="A9:H9"/>
    <mergeCell ref="A10:H10"/>
    <mergeCell ref="A11:H11"/>
    <mergeCell ref="A13:A14"/>
    <mergeCell ref="B13:B14"/>
    <mergeCell ref="C13:C14"/>
    <mergeCell ref="D13:D14"/>
    <mergeCell ref="E13:E14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H14" sqref="H14"/>
    </sheetView>
  </sheetViews>
  <sheetFormatPr defaultRowHeight="15.75"/>
  <cols>
    <col min="1" max="1" width="34" style="3" customWidth="1"/>
    <col min="2" max="2" width="56.42578125" style="3" customWidth="1"/>
    <col min="3" max="5" width="14.85546875" style="3" customWidth="1"/>
    <col min="6" max="8" width="9.140625" style="3"/>
    <col min="9" max="10" width="13.85546875" style="3" customWidth="1"/>
    <col min="11" max="16384" width="9.140625" style="3"/>
  </cols>
  <sheetData>
    <row r="1" spans="1:5">
      <c r="D1" s="176"/>
      <c r="E1" s="171" t="s">
        <v>892</v>
      </c>
    </row>
    <row r="2" spans="1:5">
      <c r="B2" s="193"/>
      <c r="D2" s="172"/>
      <c r="E2" s="168" t="s">
        <v>433</v>
      </c>
    </row>
    <row r="3" spans="1:5">
      <c r="B3" s="193"/>
      <c r="D3" s="170"/>
      <c r="E3" s="15" t="s">
        <v>1119</v>
      </c>
    </row>
    <row r="4" spans="1:5">
      <c r="B4" s="170"/>
      <c r="C4" s="169"/>
      <c r="D4" s="169"/>
      <c r="E4" s="15" t="s">
        <v>1120</v>
      </c>
    </row>
    <row r="5" spans="1:5">
      <c r="B5" s="170"/>
      <c r="C5" s="169"/>
      <c r="D5" s="169"/>
      <c r="E5" s="15" t="s">
        <v>1121</v>
      </c>
    </row>
    <row r="6" spans="1:5">
      <c r="B6" s="170"/>
      <c r="C6" s="169"/>
      <c r="D6" s="169"/>
      <c r="E6" s="169" t="s">
        <v>1122</v>
      </c>
    </row>
    <row r="7" spans="1:5">
      <c r="B7" s="170"/>
      <c r="C7" s="169"/>
      <c r="D7" s="169"/>
      <c r="E7" s="321" t="s">
        <v>1154</v>
      </c>
    </row>
    <row r="8" spans="1:5">
      <c r="B8" s="170"/>
      <c r="C8" s="169"/>
      <c r="D8" s="169"/>
      <c r="E8" s="169"/>
    </row>
    <row r="9" spans="1:5">
      <c r="A9" s="414" t="s">
        <v>655</v>
      </c>
      <c r="B9" s="414"/>
      <c r="C9" s="414"/>
      <c r="D9" s="414"/>
      <c r="E9" s="414"/>
    </row>
    <row r="10" spans="1:5">
      <c r="A10" s="325" t="s">
        <v>1118</v>
      </c>
      <c r="B10" s="325"/>
      <c r="C10" s="325"/>
      <c r="D10" s="325"/>
      <c r="E10" s="325"/>
    </row>
    <row r="11" spans="1:5">
      <c r="A11" s="328"/>
      <c r="B11" s="328"/>
      <c r="E11" s="170" t="s">
        <v>656</v>
      </c>
    </row>
    <row r="12" spans="1:5" ht="31.5">
      <c r="A12" s="311" t="s">
        <v>306</v>
      </c>
      <c r="B12" s="311" t="s">
        <v>657</v>
      </c>
      <c r="C12" s="311" t="s">
        <v>1112</v>
      </c>
      <c r="D12" s="178" t="s">
        <v>622</v>
      </c>
      <c r="E12" s="178" t="s">
        <v>665</v>
      </c>
    </row>
    <row r="13" spans="1:5">
      <c r="A13" s="199">
        <v>1</v>
      </c>
      <c r="B13" s="199">
        <v>2</v>
      </c>
      <c r="C13" s="199">
        <v>3</v>
      </c>
      <c r="D13" s="199">
        <v>4</v>
      </c>
      <c r="E13" s="199">
        <v>5</v>
      </c>
    </row>
    <row r="14" spans="1:5" s="237" customFormat="1" ht="47.25">
      <c r="A14" s="255" t="s">
        <v>308</v>
      </c>
      <c r="B14" s="322" t="s">
        <v>658</v>
      </c>
      <c r="C14" s="256">
        <v>100000</v>
      </c>
      <c r="D14" s="200">
        <v>0</v>
      </c>
      <c r="E14" s="200">
        <v>0</v>
      </c>
    </row>
    <row r="15" spans="1:5" s="237" customFormat="1" ht="47.25">
      <c r="A15" s="255" t="s">
        <v>310</v>
      </c>
      <c r="B15" s="257" t="s">
        <v>659</v>
      </c>
      <c r="C15" s="256">
        <v>0</v>
      </c>
      <c r="D15" s="200">
        <v>100000</v>
      </c>
      <c r="E15" s="200">
        <v>0</v>
      </c>
    </row>
    <row r="16" spans="1:5" ht="48" customHeight="1">
      <c r="A16" s="311" t="s">
        <v>660</v>
      </c>
      <c r="B16" s="201" t="s">
        <v>661</v>
      </c>
      <c r="C16" s="200">
        <v>0</v>
      </c>
      <c r="D16" s="200">
        <v>0</v>
      </c>
      <c r="E16" s="200">
        <v>0</v>
      </c>
    </row>
    <row r="17" spans="1:13" ht="63">
      <c r="A17" s="311" t="s">
        <v>662</v>
      </c>
      <c r="B17" s="179" t="s">
        <v>663</v>
      </c>
      <c r="C17" s="200">
        <v>0</v>
      </c>
      <c r="D17" s="200">
        <v>0</v>
      </c>
      <c r="E17" s="200">
        <v>0</v>
      </c>
    </row>
    <row r="18" spans="1:13">
      <c r="A18" s="311" t="s">
        <v>316</v>
      </c>
      <c r="B18" s="201" t="s">
        <v>1127</v>
      </c>
      <c r="C18" s="200">
        <f>прил.3!C38</f>
        <v>4263121.5</v>
      </c>
      <c r="D18" s="200">
        <f>прил.3!D38</f>
        <v>4016750.6</v>
      </c>
      <c r="E18" s="200">
        <f>прил.3!E38</f>
        <v>4078208.5999999996</v>
      </c>
    </row>
    <row r="19" spans="1:13" ht="31.5">
      <c r="A19" s="319" t="s">
        <v>318</v>
      </c>
      <c r="B19" s="207" t="s">
        <v>319</v>
      </c>
      <c r="C19" s="202">
        <f>прил.4!G387</f>
        <v>4419486.8</v>
      </c>
      <c r="D19" s="202">
        <f>прил.4!H387</f>
        <v>4116750.6</v>
      </c>
      <c r="E19" s="202">
        <f>прил.4!I387</f>
        <v>3978208.6000000006</v>
      </c>
    </row>
    <row r="20" spans="1:13" ht="47.25">
      <c r="A20" s="319" t="s">
        <v>320</v>
      </c>
      <c r="B20" s="207" t="s">
        <v>321</v>
      </c>
      <c r="C20" s="202">
        <v>0</v>
      </c>
      <c r="D20" s="202">
        <v>0</v>
      </c>
      <c r="E20" s="202">
        <v>0</v>
      </c>
    </row>
    <row r="21" spans="1:13" ht="19.5" customHeight="1">
      <c r="A21" s="208"/>
      <c r="B21" s="208" t="s">
        <v>322</v>
      </c>
      <c r="C21" s="203">
        <f>C18-C19</f>
        <v>-156365.29999999981</v>
      </c>
      <c r="D21" s="203">
        <f>D18-D19</f>
        <v>-100000</v>
      </c>
      <c r="E21" s="203">
        <f>E18-E19</f>
        <v>99999.999999999069</v>
      </c>
    </row>
    <row r="22" spans="1:13">
      <c r="A22" s="209"/>
      <c r="B22" s="209"/>
      <c r="C22" s="204"/>
      <c r="D22" s="209"/>
      <c r="E22" s="209"/>
    </row>
    <row r="23" spans="1:13" s="129" customFormat="1">
      <c r="A23" s="129" t="s">
        <v>1149</v>
      </c>
      <c r="B23" s="63"/>
      <c r="C23" s="63"/>
      <c r="D23" s="63"/>
      <c r="E23" s="63"/>
      <c r="F23" s="63"/>
      <c r="G23" s="205"/>
      <c r="H23" s="205"/>
      <c r="I23" s="205"/>
      <c r="K23" s="235"/>
      <c r="L23" s="235"/>
      <c r="M23" s="235"/>
    </row>
    <row r="24" spans="1:13" s="129" customFormat="1">
      <c r="A24" s="129" t="s">
        <v>1141</v>
      </c>
      <c r="B24" s="63"/>
      <c r="C24" s="63"/>
      <c r="D24" s="63"/>
      <c r="E24" s="63"/>
      <c r="F24" s="63"/>
      <c r="G24" s="205"/>
      <c r="H24" s="205"/>
      <c r="I24" s="205"/>
    </row>
    <row r="25" spans="1:13">
      <c r="A25" s="415" t="s">
        <v>1151</v>
      </c>
      <c r="B25" s="415"/>
      <c r="C25" s="415"/>
      <c r="D25" s="415"/>
      <c r="E25" s="415"/>
    </row>
  </sheetData>
  <mergeCells count="4">
    <mergeCell ref="A9:E9"/>
    <mergeCell ref="A10:E10"/>
    <mergeCell ref="A11:B11"/>
    <mergeCell ref="A25:E25"/>
  </mergeCells>
  <pageMargins left="0.59055118110236227" right="0.59055118110236227" top="1.1811023622047245" bottom="0.5905511811023622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12</vt:i4>
      </vt:variant>
    </vt:vector>
  </HeadingPairs>
  <TitlesOfParts>
    <vt:vector size="28" baseType="lpstr">
      <vt:lpstr>прил.1</vt:lpstr>
      <vt:lpstr>прил. 2</vt:lpstr>
      <vt:lpstr>прил.3</vt:lpstr>
      <vt:lpstr>прил.4</vt:lpstr>
      <vt:lpstr>прил.5</vt:lpstr>
      <vt:lpstr>прил.6 </vt:lpstr>
      <vt:lpstr>Отраслевая 2015-2016</vt:lpstr>
      <vt:lpstr>Программы 2015-2016</vt:lpstr>
      <vt:lpstr>Ведомственная 2015-2016</vt:lpstr>
      <vt:lpstr>Прил №9</vt:lpstr>
      <vt:lpstr>Прил №11</vt:lpstr>
      <vt:lpstr>Прил.№2 к Сред.срочн.плану</vt:lpstr>
      <vt:lpstr>Прилож.№ 10</vt:lpstr>
      <vt:lpstr>прил. 7</vt:lpstr>
      <vt:lpstr>прил.8</vt:lpstr>
      <vt:lpstr>прил.9</vt:lpstr>
      <vt:lpstr>'Ведомственная 2015-2016'!Заголовки_для_печати</vt:lpstr>
      <vt:lpstr>'Отраслевая 2015-2016'!Заголовки_для_печати</vt:lpstr>
      <vt:lpstr>'прил. 2'!Заголовки_для_печати</vt:lpstr>
      <vt:lpstr>'прил. 7'!Заголовки_для_печати</vt:lpstr>
      <vt:lpstr>прил.1!Заголовки_для_печати</vt:lpstr>
      <vt:lpstr>прил.3!Заголовки_для_печати</vt:lpstr>
      <vt:lpstr>прил.4!Заголовки_для_печати</vt:lpstr>
      <vt:lpstr>прил.5!Заголовки_для_печати</vt:lpstr>
      <vt:lpstr>'прил.6 '!Заголовки_для_печати</vt:lpstr>
      <vt:lpstr>прил.8!Заголовки_для_печати</vt:lpstr>
      <vt:lpstr>прил.9!Заголовки_для_печати</vt:lpstr>
      <vt:lpstr>'Программы 2015-2016'!Заголовки_для_печати</vt:lpstr>
    </vt:vector>
  </TitlesOfParts>
  <Company>*****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Ляна</cp:lastModifiedBy>
  <cp:lastPrinted>2019-12-10T10:53:44Z</cp:lastPrinted>
  <dcterms:created xsi:type="dcterms:W3CDTF">2007-10-25T06:15:12Z</dcterms:created>
  <dcterms:modified xsi:type="dcterms:W3CDTF">2019-12-12T07:44:44Z</dcterms:modified>
</cp:coreProperties>
</file>